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AGI-VAIO\Agi doksik\Budai&amp;Barta\Hajdúszoboszló\"/>
    </mc:Choice>
  </mc:AlternateContent>
  <bookViews>
    <workbookView xWindow="0" yWindow="0" windowWidth="28800" windowHeight="14205" activeTab="1"/>
  </bookViews>
  <sheets>
    <sheet name="Üzemeltetés" sheetId="1" r:id="rId1"/>
    <sheet name="NPV" sheetId="5" r:id="rId2"/>
    <sheet name="Ütemezett költségvetés" sheetId="2" r:id="rId3"/>
    <sheet name="Teljes költségvetés" sheetId="3" r:id="rId4"/>
    <sheet name="Marketing" sheetId="6" r:id="rId5"/>
    <sheet name="Nyilvánosság" sheetId="4" r:id="rId6"/>
  </sheets>
  <externalReferences>
    <externalReference r:id="rId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2" l="1"/>
  <c r="C38" i="2"/>
  <c r="C23" i="2"/>
  <c r="C55" i="3"/>
  <c r="E54" i="3"/>
  <c r="C54" i="3"/>
  <c r="C53" i="3"/>
  <c r="C52" i="3"/>
  <c r="C51" i="3"/>
  <c r="C50" i="3"/>
  <c r="C49" i="3"/>
  <c r="C48" i="3"/>
  <c r="C47" i="3"/>
  <c r="C46" i="3"/>
  <c r="C45" i="3"/>
  <c r="D46" i="3"/>
  <c r="E46" i="3" s="1"/>
  <c r="D49" i="3" l="1"/>
  <c r="E49" i="3" s="1"/>
  <c r="D47" i="3"/>
  <c r="E47" i="3" s="1"/>
  <c r="D53" i="3"/>
  <c r="E53" i="3" s="1"/>
  <c r="D45" i="3" l="1"/>
  <c r="E45" i="3" s="1"/>
  <c r="D51" i="3"/>
  <c r="D52" i="3"/>
  <c r="D48" i="3"/>
  <c r="E48" i="3" s="1"/>
  <c r="D50" i="3" l="1"/>
  <c r="D55" i="3"/>
  <c r="E55" i="3" s="1"/>
  <c r="F50" i="3" l="1"/>
  <c r="E50" i="3"/>
  <c r="G12" i="5" l="1"/>
  <c r="H12" i="5"/>
  <c r="I12" i="5"/>
  <c r="J12" i="5"/>
  <c r="K12" i="5"/>
  <c r="L12" i="5"/>
  <c r="M12" i="5"/>
  <c r="F12" i="5"/>
  <c r="D23" i="2" l="1"/>
  <c r="D28" i="2"/>
  <c r="E28" i="2"/>
  <c r="C28" i="2"/>
  <c r="E37" i="2"/>
  <c r="F37" i="2" s="1"/>
  <c r="E11" i="2"/>
  <c r="E12" i="2"/>
  <c r="E36" i="2"/>
  <c r="D36" i="2"/>
  <c r="E23" i="2"/>
  <c r="E20" i="2"/>
  <c r="D20" i="2"/>
  <c r="C20" i="2"/>
  <c r="E19" i="2"/>
  <c r="D19" i="2"/>
  <c r="F19" i="2" s="1"/>
  <c r="E16" i="2"/>
  <c r="F16" i="2" s="1"/>
  <c r="E15" i="2"/>
  <c r="D15" i="2"/>
  <c r="F15" i="2" s="1"/>
  <c r="D12" i="2"/>
  <c r="D11" i="2"/>
  <c r="D6" i="2"/>
  <c r="F6" i="2" s="1"/>
  <c r="C5" i="2"/>
  <c r="F5" i="2" s="1"/>
  <c r="C55" i="5"/>
  <c r="D55" i="5"/>
  <c r="E55" i="5"/>
  <c r="F55" i="5"/>
  <c r="F53" i="5" s="1"/>
  <c r="G55" i="5"/>
  <c r="H55" i="5"/>
  <c r="I55" i="5"/>
  <c r="J55" i="5"/>
  <c r="J53" i="5" s="1"/>
  <c r="K55" i="5"/>
  <c r="B55" i="5"/>
  <c r="C53" i="5"/>
  <c r="E53" i="5"/>
  <c r="G53" i="5"/>
  <c r="H53" i="5"/>
  <c r="I53" i="5"/>
  <c r="K53" i="5"/>
  <c r="B53" i="5"/>
  <c r="F36" i="2" l="1"/>
  <c r="F20" i="2"/>
  <c r="F11" i="2"/>
  <c r="D38" i="2"/>
  <c r="F12" i="2"/>
  <c r="G12" i="2" s="1"/>
  <c r="E38" i="2"/>
  <c r="F28" i="2"/>
  <c r="C45" i="5" l="1"/>
  <c r="C52" i="5" s="1"/>
  <c r="E24" i="5"/>
  <c r="B45" i="5"/>
  <c r="B52" i="5" s="1"/>
  <c r="D24" i="5"/>
  <c r="F38" i="2"/>
  <c r="F40" i="2" s="1"/>
  <c r="D45" i="5"/>
  <c r="F24" i="5"/>
  <c r="D54" i="5" l="1"/>
  <c r="E4" i="5"/>
  <c r="D53" i="5" l="1"/>
  <c r="D52" i="5"/>
  <c r="H6" i="1" l="1"/>
  <c r="I6" i="1" s="1"/>
  <c r="H7" i="1"/>
  <c r="I7" i="1"/>
  <c r="J7" i="1"/>
  <c r="K7" i="1"/>
  <c r="L7" i="1"/>
  <c r="M7" i="1"/>
  <c r="N7" i="1"/>
  <c r="O7" i="1"/>
  <c r="H8" i="1"/>
  <c r="I8" i="1"/>
  <c r="J8" i="1"/>
  <c r="K8" i="1"/>
  <c r="L8" i="1"/>
  <c r="M8" i="1"/>
  <c r="N8" i="1"/>
  <c r="O8" i="1"/>
  <c r="H9" i="1" l="1"/>
  <c r="I9" i="1"/>
  <c r="J6" i="1"/>
  <c r="J9" i="1" l="1"/>
  <c r="K6" i="1"/>
  <c r="L6" i="1" l="1"/>
  <c r="K9" i="1"/>
  <c r="L9" i="1" l="1"/>
  <c r="M6" i="1"/>
  <c r="M9" i="1" l="1"/>
  <c r="N6" i="1"/>
  <c r="O6" i="1" l="1"/>
  <c r="O9" i="1" s="1"/>
  <c r="N9" i="1"/>
  <c r="L71" i="1" l="1"/>
  <c r="O71" i="1"/>
  <c r="O68" i="1"/>
  <c r="L68" i="1"/>
  <c r="M68" i="1"/>
  <c r="M71" i="1" s="1"/>
  <c r="N68" i="1"/>
  <c r="N71" i="1" s="1"/>
  <c r="I68" i="1"/>
  <c r="I71" i="1" s="1"/>
  <c r="J68" i="1"/>
  <c r="J71" i="1" s="1"/>
  <c r="K68" i="1"/>
  <c r="K71" i="1" s="1"/>
  <c r="H68" i="1"/>
  <c r="H71" i="1" s="1"/>
  <c r="O43" i="1"/>
  <c r="O42" i="1"/>
  <c r="O41" i="1"/>
  <c r="B20" i="1" l="1"/>
  <c r="H58" i="1"/>
  <c r="I56" i="1"/>
  <c r="J56" i="1" s="1"/>
  <c r="K56" i="1" s="1"/>
  <c r="L56" i="1" s="1"/>
  <c r="M56" i="1" s="1"/>
  <c r="N56" i="1" s="1"/>
  <c r="O56" i="1" s="1"/>
  <c r="I57" i="1"/>
  <c r="J57" i="1" s="1"/>
  <c r="K57" i="1" s="1"/>
  <c r="L57" i="1" s="1"/>
  <c r="M57" i="1" s="1"/>
  <c r="N57" i="1" s="1"/>
  <c r="O57" i="1" s="1"/>
  <c r="I55" i="1"/>
  <c r="J55" i="1" s="1"/>
  <c r="K55" i="1" s="1"/>
  <c r="L55" i="1" s="1"/>
  <c r="M55" i="1" s="1"/>
  <c r="N55" i="1" s="1"/>
  <c r="O55" i="1" s="1"/>
  <c r="E29" i="5"/>
  <c r="E37" i="5" s="1"/>
  <c r="F28" i="5"/>
  <c r="C14" i="5"/>
  <c r="C15" i="5"/>
  <c r="B14" i="5"/>
  <c r="B15" i="5"/>
  <c r="F8" i="5"/>
  <c r="C50" i="5"/>
  <c r="C49" i="5"/>
  <c r="B49" i="5"/>
  <c r="C44" i="5"/>
  <c r="D44" i="5" s="1"/>
  <c r="E44" i="5" s="1"/>
  <c r="F44" i="5" s="1"/>
  <c r="G44" i="5" s="1"/>
  <c r="H44" i="5" s="1"/>
  <c r="I44" i="5" s="1"/>
  <c r="J44" i="5" s="1"/>
  <c r="K44" i="5" s="1"/>
  <c r="E31" i="5"/>
  <c r="F31" i="5" s="1"/>
  <c r="G31" i="5" s="1"/>
  <c r="H31" i="5" s="1"/>
  <c r="I31" i="5" s="1"/>
  <c r="J31" i="5" s="1"/>
  <c r="K31" i="5" s="1"/>
  <c r="L31" i="5" s="1"/>
  <c r="M31" i="5" s="1"/>
  <c r="D29" i="5"/>
  <c r="D37" i="5" s="1"/>
  <c r="B24" i="5"/>
  <c r="F23" i="5"/>
  <c r="G23" i="5" s="1"/>
  <c r="H23" i="5" s="1"/>
  <c r="I23" i="5" s="1"/>
  <c r="J23" i="5" s="1"/>
  <c r="K23" i="5" s="1"/>
  <c r="L23" i="5" s="1"/>
  <c r="M23" i="5" s="1"/>
  <c r="E23" i="5"/>
  <c r="F11" i="5"/>
  <c r="G11" i="5" s="1"/>
  <c r="H11" i="5" s="1"/>
  <c r="I11" i="5" s="1"/>
  <c r="J11" i="5" s="1"/>
  <c r="K11" i="5" s="1"/>
  <c r="L11" i="5" s="1"/>
  <c r="M11" i="5" s="1"/>
  <c r="E11" i="5"/>
  <c r="E3" i="5"/>
  <c r="F3" i="5" s="1"/>
  <c r="G3" i="5" s="1"/>
  <c r="H3" i="5" s="1"/>
  <c r="I3" i="5" s="1"/>
  <c r="J3" i="5" s="1"/>
  <c r="K3" i="5" s="1"/>
  <c r="L3" i="5" s="1"/>
  <c r="M3" i="5" s="1"/>
  <c r="B18" i="1"/>
  <c r="G49" i="1"/>
  <c r="G50" i="1"/>
  <c r="F50" i="1"/>
  <c r="F49" i="1"/>
  <c r="I44" i="1"/>
  <c r="J44" i="1" s="1"/>
  <c r="K44" i="1" s="1"/>
  <c r="L44" i="1" s="1"/>
  <c r="M44" i="1" s="1"/>
  <c r="N44" i="1" s="1"/>
  <c r="O44" i="1" s="1"/>
  <c r="I43" i="1"/>
  <c r="J43" i="1" s="1"/>
  <c r="K43" i="1" s="1"/>
  <c r="L43" i="1" s="1"/>
  <c r="M43" i="1" s="1"/>
  <c r="N43" i="1" s="1"/>
  <c r="I42" i="1"/>
  <c r="I41" i="1"/>
  <c r="J41" i="1" s="1"/>
  <c r="K41" i="1" s="1"/>
  <c r="L41" i="1" s="1"/>
  <c r="M41" i="1" s="1"/>
  <c r="N41" i="1" s="1"/>
  <c r="I36" i="1"/>
  <c r="J36" i="1" s="1"/>
  <c r="K36" i="1" s="1"/>
  <c r="L36" i="1" s="1"/>
  <c r="M36" i="1" s="1"/>
  <c r="N36" i="1" s="1"/>
  <c r="O36" i="1" s="1"/>
  <c r="I35" i="1"/>
  <c r="J35" i="1" s="1"/>
  <c r="K35" i="1" s="1"/>
  <c r="L35" i="1" s="1"/>
  <c r="M35" i="1" s="1"/>
  <c r="N35" i="1" s="1"/>
  <c r="O35" i="1" s="1"/>
  <c r="I34" i="1"/>
  <c r="H34" i="1" s="1"/>
  <c r="I33" i="1"/>
  <c r="I32" i="1"/>
  <c r="J32" i="1" s="1"/>
  <c r="K32" i="1" s="1"/>
  <c r="L32" i="1" s="1"/>
  <c r="M32" i="1" s="1"/>
  <c r="N32" i="1" s="1"/>
  <c r="O32" i="1" s="1"/>
  <c r="I31" i="1"/>
  <c r="J31" i="1" s="1"/>
  <c r="K31" i="1" s="1"/>
  <c r="L31" i="1" s="1"/>
  <c r="M31" i="1" s="1"/>
  <c r="N31" i="1" s="1"/>
  <c r="O31" i="1" s="1"/>
  <c r="F51" i="1" l="1"/>
  <c r="J34" i="1"/>
  <c r="K34" i="1" s="1"/>
  <c r="L34" i="1" s="1"/>
  <c r="M34" i="1" s="1"/>
  <c r="N34" i="1" s="1"/>
  <c r="O34" i="1" s="1"/>
  <c r="H36" i="1"/>
  <c r="G51" i="1"/>
  <c r="H32" i="1"/>
  <c r="H35" i="1"/>
  <c r="I37" i="1"/>
  <c r="I45" i="1"/>
  <c r="H31" i="1"/>
  <c r="O58" i="1"/>
  <c r="K58" i="5" s="1"/>
  <c r="L58" i="1"/>
  <c r="K58" i="1"/>
  <c r="N58" i="1"/>
  <c r="J58" i="1"/>
  <c r="M58" i="1"/>
  <c r="I58" i="1"/>
  <c r="E9" i="5"/>
  <c r="E17" i="5" s="1"/>
  <c r="C59" i="5"/>
  <c r="C60" i="5" s="1"/>
  <c r="B50" i="5"/>
  <c r="B59" i="5" s="1"/>
  <c r="B60" i="5" s="1"/>
  <c r="B61" i="5" s="1"/>
  <c r="C24" i="5"/>
  <c r="J42" i="1"/>
  <c r="H33" i="1"/>
  <c r="J33" i="1"/>
  <c r="C61" i="5" l="1"/>
  <c r="C4" i="5"/>
  <c r="B4" i="5"/>
  <c r="H37" i="1"/>
  <c r="G27" i="5"/>
  <c r="G7" i="5"/>
  <c r="F27" i="5"/>
  <c r="F7" i="5"/>
  <c r="G28" i="5"/>
  <c r="G8" i="5"/>
  <c r="J45" i="1"/>
  <c r="K42" i="1"/>
  <c r="K33" i="1"/>
  <c r="J37" i="1"/>
  <c r="H27" i="5" l="1"/>
  <c r="H7" i="5"/>
  <c r="H8" i="5"/>
  <c r="H28" i="5"/>
  <c r="L42" i="1"/>
  <c r="K45" i="1"/>
  <c r="L33" i="1"/>
  <c r="K37" i="1"/>
  <c r="I27" i="5" l="1"/>
  <c r="I7" i="5"/>
  <c r="I8" i="5"/>
  <c r="I28" i="5"/>
  <c r="M42" i="1"/>
  <c r="L45" i="1"/>
  <c r="M33" i="1"/>
  <c r="L37" i="1"/>
  <c r="J27" i="5" l="1"/>
  <c r="J7" i="5"/>
  <c r="J28" i="5"/>
  <c r="J8" i="5"/>
  <c r="N42" i="1"/>
  <c r="M45" i="1"/>
  <c r="N33" i="1"/>
  <c r="M37" i="1"/>
  <c r="K27" i="5" l="1"/>
  <c r="K7" i="5"/>
  <c r="K28" i="5"/>
  <c r="K8" i="5"/>
  <c r="N45" i="1"/>
  <c r="O45" i="1"/>
  <c r="O33" i="1"/>
  <c r="O37" i="1" s="1"/>
  <c r="N37" i="1"/>
  <c r="L27" i="5" l="1"/>
  <c r="L7" i="5"/>
  <c r="M27" i="5"/>
  <c r="M7" i="5"/>
  <c r="L8" i="5"/>
  <c r="L28" i="5"/>
  <c r="M8" i="5"/>
  <c r="M28" i="5"/>
  <c r="B27" i="5" l="1"/>
  <c r="C7" i="5"/>
  <c r="C27" i="5"/>
  <c r="B7" i="5"/>
  <c r="B8" i="5"/>
  <c r="C28" i="5"/>
  <c r="B28" i="5"/>
  <c r="C8" i="5"/>
  <c r="I26" i="1" l="1"/>
  <c r="J26" i="1" s="1"/>
  <c r="K26" i="1" s="1"/>
  <c r="L26" i="1" s="1"/>
  <c r="M26" i="1" s="1"/>
  <c r="N26" i="1" s="1"/>
  <c r="O26" i="1" s="1"/>
  <c r="H24" i="1"/>
  <c r="I24" i="1" s="1"/>
  <c r="J24" i="1" s="1"/>
  <c r="I16" i="1"/>
  <c r="J16" i="1" s="1"/>
  <c r="K16" i="1" s="1"/>
  <c r="L16" i="1" s="1"/>
  <c r="H16" i="1"/>
  <c r="I22" i="1"/>
  <c r="H22" i="1" s="1"/>
  <c r="I21" i="1"/>
  <c r="J21" i="1" s="1"/>
  <c r="K21" i="1" s="1"/>
  <c r="L21" i="1" s="1"/>
  <c r="M21" i="1" s="1"/>
  <c r="N21" i="1" s="1"/>
  <c r="O21" i="1" s="1"/>
  <c r="I20" i="1"/>
  <c r="H20" i="1" s="1"/>
  <c r="I19" i="1"/>
  <c r="J19" i="1" s="1"/>
  <c r="K19" i="1" s="1"/>
  <c r="L19" i="1" s="1"/>
  <c r="M19" i="1" s="1"/>
  <c r="N19" i="1" s="1"/>
  <c r="O19" i="1" s="1"/>
  <c r="B40" i="1"/>
  <c r="I18" i="1" s="1"/>
  <c r="I17" i="1"/>
  <c r="J17" i="1" s="1"/>
  <c r="H17" i="1"/>
  <c r="I19" i="6"/>
  <c r="H19" i="6"/>
  <c r="G19" i="6"/>
  <c r="F19" i="6"/>
  <c r="E19" i="6"/>
  <c r="C19" i="6"/>
  <c r="K20" i="4"/>
  <c r="J20" i="4"/>
  <c r="I20" i="4"/>
  <c r="H20" i="4"/>
  <c r="G20" i="4"/>
  <c r="F20" i="4"/>
  <c r="E20" i="4"/>
  <c r="C20" i="4"/>
  <c r="J22" i="1" l="1"/>
  <c r="K22" i="1" s="1"/>
  <c r="L22" i="1" s="1"/>
  <c r="M22" i="1" s="1"/>
  <c r="N22" i="1" s="1"/>
  <c r="O22" i="1" s="1"/>
  <c r="H26" i="1"/>
  <c r="H18" i="1"/>
  <c r="J18" i="1"/>
  <c r="K18" i="1" s="1"/>
  <c r="L18" i="1" s="1"/>
  <c r="M18" i="1" s="1"/>
  <c r="N18" i="1" s="1"/>
  <c r="O18" i="1" s="1"/>
  <c r="M33" i="5"/>
  <c r="I33" i="5"/>
  <c r="H49" i="1"/>
  <c r="F32" i="5"/>
  <c r="L33" i="5"/>
  <c r="H33" i="5"/>
  <c r="H19" i="1"/>
  <c r="H15" i="1" s="1"/>
  <c r="H21" i="1"/>
  <c r="K33" i="5"/>
  <c r="F33" i="5"/>
  <c r="J20" i="1"/>
  <c r="K20" i="1" s="1"/>
  <c r="L20" i="1" s="1"/>
  <c r="M20" i="1" s="1"/>
  <c r="N20" i="1" s="1"/>
  <c r="O20" i="1" s="1"/>
  <c r="G33" i="5"/>
  <c r="J33" i="5"/>
  <c r="K17" i="1"/>
  <c r="L17" i="1" s="1"/>
  <c r="M17" i="1" s="1"/>
  <c r="N17" i="1" s="1"/>
  <c r="O17" i="1" s="1"/>
  <c r="I15" i="1"/>
  <c r="K24" i="1"/>
  <c r="M16" i="1"/>
  <c r="K15" i="1" l="1"/>
  <c r="J15" i="1"/>
  <c r="L15" i="1"/>
  <c r="C13" i="5"/>
  <c r="B13" i="5"/>
  <c r="G32" i="5"/>
  <c r="G36" i="5" s="1"/>
  <c r="E50" i="5" s="1"/>
  <c r="E59" i="5" s="1"/>
  <c r="G16" i="5"/>
  <c r="F36" i="5"/>
  <c r="C33" i="5"/>
  <c r="B33" i="5"/>
  <c r="I49" i="1"/>
  <c r="F16" i="5"/>
  <c r="L24" i="1"/>
  <c r="N16" i="1"/>
  <c r="M15" i="1"/>
  <c r="H32" i="5" l="1"/>
  <c r="J49" i="1"/>
  <c r="D50" i="5"/>
  <c r="D59" i="5" s="1"/>
  <c r="M24" i="1"/>
  <c r="O16" i="1"/>
  <c r="O15" i="1" s="1"/>
  <c r="N15" i="1"/>
  <c r="I32" i="5" l="1"/>
  <c r="I36" i="5" s="1"/>
  <c r="G50" i="5" s="1"/>
  <c r="G59" i="5" s="1"/>
  <c r="I16" i="5"/>
  <c r="K49" i="1"/>
  <c r="H36" i="5"/>
  <c r="H16" i="5"/>
  <c r="N24" i="1"/>
  <c r="J32" i="5" l="1"/>
  <c r="L49" i="1"/>
  <c r="F50" i="5"/>
  <c r="F59" i="5" s="1"/>
  <c r="O24" i="1"/>
  <c r="J16" i="5" l="1"/>
  <c r="J36" i="5"/>
  <c r="K32" i="5"/>
  <c r="K36" i="5" s="1"/>
  <c r="I50" i="5" s="1"/>
  <c r="I59" i="5" s="1"/>
  <c r="M49" i="1"/>
  <c r="K16" i="5" l="1"/>
  <c r="L16" i="5"/>
  <c r="L32" i="5"/>
  <c r="N49" i="1"/>
  <c r="H50" i="5"/>
  <c r="H59" i="5" s="1"/>
  <c r="L36" i="5" l="1"/>
  <c r="O49" i="1"/>
  <c r="M32" i="5"/>
  <c r="M16" i="5" l="1"/>
  <c r="C12" i="5"/>
  <c r="M36" i="5"/>
  <c r="K50" i="5" s="1"/>
  <c r="K59" i="5" s="1"/>
  <c r="B32" i="5"/>
  <c r="C32" i="5"/>
  <c r="J50" i="5"/>
  <c r="J59" i="5" s="1"/>
  <c r="C36" i="5"/>
  <c r="B12" i="5"/>
  <c r="B36" i="5" l="1"/>
  <c r="B16" i="5"/>
  <c r="C16" i="5"/>
  <c r="B9" i="1" l="1"/>
  <c r="B21" i="1"/>
  <c r="B22" i="1" s="1"/>
  <c r="B19" i="1"/>
  <c r="C72" i="1"/>
  <c r="I25" i="1" s="1"/>
  <c r="C67" i="1"/>
  <c r="C68" i="1" s="1"/>
  <c r="C69" i="1" s="1"/>
  <c r="D69" i="1" s="1"/>
  <c r="I23" i="1" l="1"/>
  <c r="H23" i="1" s="1"/>
  <c r="J23" i="1"/>
  <c r="K23" i="1" s="1"/>
  <c r="L23" i="1" s="1"/>
  <c r="M23" i="1" s="1"/>
  <c r="N23" i="1" s="1"/>
  <c r="O23" i="1" s="1"/>
  <c r="H25" i="1"/>
  <c r="J25" i="1"/>
  <c r="C70" i="1"/>
  <c r="I14" i="1" s="1"/>
  <c r="K25" i="1" l="1"/>
  <c r="H14" i="1"/>
  <c r="H27" i="1" s="1"/>
  <c r="J14" i="1"/>
  <c r="K14" i="1" s="1"/>
  <c r="L14" i="1" s="1"/>
  <c r="M14" i="1" s="1"/>
  <c r="N14" i="1" s="1"/>
  <c r="O14" i="1" s="1"/>
  <c r="I27" i="1"/>
  <c r="F26" i="5" l="1"/>
  <c r="F6" i="5"/>
  <c r="H50" i="1"/>
  <c r="H51" i="1" s="1"/>
  <c r="I50" i="1"/>
  <c r="I51" i="1" s="1"/>
  <c r="G26" i="5"/>
  <c r="G25" i="5" s="1"/>
  <c r="G6" i="5"/>
  <c r="G5" i="5" s="1"/>
  <c r="G9" i="5" s="1"/>
  <c r="G17" i="5" s="1"/>
  <c r="J27" i="1"/>
  <c r="L25" i="1"/>
  <c r="K27" i="1"/>
  <c r="M25" i="1" l="1"/>
  <c r="L27" i="1"/>
  <c r="J50" i="1"/>
  <c r="J51" i="1" s="1"/>
  <c r="H26" i="5"/>
  <c r="H25" i="5" s="1"/>
  <c r="H6" i="5"/>
  <c r="H5" i="5" s="1"/>
  <c r="H9" i="5" s="1"/>
  <c r="H17" i="5" s="1"/>
  <c r="F5" i="5"/>
  <c r="K50" i="1"/>
  <c r="K51" i="1" s="1"/>
  <c r="I26" i="5"/>
  <c r="I25" i="5" s="1"/>
  <c r="I6" i="5"/>
  <c r="I5" i="5" s="1"/>
  <c r="I9" i="5" s="1"/>
  <c r="I17" i="5" s="1"/>
  <c r="E46" i="5"/>
  <c r="E49" i="5" s="1"/>
  <c r="E60" i="5" s="1"/>
  <c r="G29" i="5"/>
  <c r="G37" i="5" s="1"/>
  <c r="F25" i="5"/>
  <c r="F29" i="5" l="1"/>
  <c r="D46" i="5"/>
  <c r="D49" i="5" s="1"/>
  <c r="D60" i="5" s="1"/>
  <c r="D61" i="5" s="1"/>
  <c r="E61" i="5" s="1"/>
  <c r="I29" i="5"/>
  <c r="I37" i="5" s="1"/>
  <c r="G46" i="5"/>
  <c r="G49" i="5" s="1"/>
  <c r="G60" i="5" s="1"/>
  <c r="F9" i="5"/>
  <c r="J6" i="5"/>
  <c r="L50" i="1"/>
  <c r="L51" i="1" s="1"/>
  <c r="J26" i="5"/>
  <c r="F46" i="5"/>
  <c r="F49" i="5" s="1"/>
  <c r="F60" i="5" s="1"/>
  <c r="H29" i="5"/>
  <c r="H37" i="5" s="1"/>
  <c r="N25" i="1"/>
  <c r="M27" i="1"/>
  <c r="F61" i="5" l="1"/>
  <c r="G61" i="5" s="1"/>
  <c r="F37" i="5"/>
  <c r="K26" i="5"/>
  <c r="K25" i="5" s="1"/>
  <c r="K6" i="5"/>
  <c r="K5" i="5" s="1"/>
  <c r="K9" i="5" s="1"/>
  <c r="K17" i="5" s="1"/>
  <c r="M50" i="1"/>
  <c r="M51" i="1" s="1"/>
  <c r="J25" i="5"/>
  <c r="J5" i="5"/>
  <c r="O25" i="1"/>
  <c r="O27" i="1" s="1"/>
  <c r="N27" i="1"/>
  <c r="F17" i="5"/>
  <c r="J9" i="5" l="1"/>
  <c r="O50" i="1"/>
  <c r="O51" i="1" s="1"/>
  <c r="M26" i="5"/>
  <c r="M25" i="5" s="1"/>
  <c r="M6" i="5"/>
  <c r="M5" i="5" s="1"/>
  <c r="M9" i="5" s="1"/>
  <c r="M17" i="5" s="1"/>
  <c r="H46" i="5"/>
  <c r="H49" i="5" s="1"/>
  <c r="H60" i="5" s="1"/>
  <c r="H61" i="5" s="1"/>
  <c r="J29" i="5"/>
  <c r="N50" i="1"/>
  <c r="N51" i="1" s="1"/>
  <c r="L26" i="5"/>
  <c r="L6" i="5"/>
  <c r="K29" i="5"/>
  <c r="K37" i="5" s="1"/>
  <c r="I46" i="5"/>
  <c r="I49" i="5" s="1"/>
  <c r="I60" i="5" s="1"/>
  <c r="B6" i="5"/>
  <c r="L25" i="5" l="1"/>
  <c r="B26" i="5"/>
  <c r="C26" i="5"/>
  <c r="J37" i="5"/>
  <c r="I61" i="5"/>
  <c r="L5" i="5"/>
  <c r="C6" i="5"/>
  <c r="M29" i="5"/>
  <c r="M37" i="5" s="1"/>
  <c r="K46" i="5"/>
  <c r="K49" i="5" s="1"/>
  <c r="K60" i="5" s="1"/>
  <c r="J17" i="5"/>
  <c r="L9" i="5" l="1"/>
  <c r="B5" i="5"/>
  <c r="C5" i="5"/>
  <c r="J46" i="5"/>
  <c r="J49" i="5" s="1"/>
  <c r="J60" i="5" s="1"/>
  <c r="J61" i="5" s="1"/>
  <c r="K61" i="5" s="1"/>
  <c r="L29" i="5"/>
  <c r="B25" i="5"/>
  <c r="C25" i="5"/>
  <c r="L37" i="5" l="1"/>
  <c r="B29" i="5"/>
  <c r="B37" i="5" s="1"/>
  <c r="C29" i="5"/>
  <c r="C37" i="5" s="1"/>
  <c r="L17" i="5"/>
  <c r="B9" i="5"/>
  <c r="C9" i="5"/>
  <c r="B38" i="5" l="1"/>
  <c r="B39" i="5"/>
  <c r="B19" i="5"/>
  <c r="C17" i="5"/>
  <c r="B18" i="5"/>
  <c r="B17" i="5"/>
</calcChain>
</file>

<file path=xl/sharedStrings.xml><?xml version="1.0" encoding="utf-8"?>
<sst xmlns="http://schemas.openxmlformats.org/spreadsheetml/2006/main" count="417" uniqueCount="309">
  <si>
    <t>Kerékpártároló</t>
  </si>
  <si>
    <t>Szabadtéri színpad</t>
  </si>
  <si>
    <t>Park</t>
  </si>
  <si>
    <t>Pavilonok</t>
  </si>
  <si>
    <t>Szökőkút</t>
  </si>
  <si>
    <t>Parkoló</t>
  </si>
  <si>
    <t>jelenlegi</t>
  </si>
  <si>
    <t>jövőbeli</t>
  </si>
  <si>
    <t>fejlesztés különbözettel</t>
  </si>
  <si>
    <t>Karbantartás</t>
  </si>
  <si>
    <t>Pótlás</t>
  </si>
  <si>
    <t>Pakolás óráinak száma</t>
  </si>
  <si>
    <t>Takarítás</t>
  </si>
  <si>
    <t>Személyi költségek</t>
  </si>
  <si>
    <t>Pótlási költség (építés 1-2%a)</t>
  </si>
  <si>
    <t>Karbantartási költség (építés 1%-a)</t>
  </si>
  <si>
    <t>Rezsi költség</t>
  </si>
  <si>
    <t>Víz</t>
  </si>
  <si>
    <t>Áram</t>
  </si>
  <si>
    <t>Hulladék</t>
  </si>
  <si>
    <t>kivilágítás</t>
  </si>
  <si>
    <t>Rezsi</t>
  </si>
  <si>
    <t>Fűtés</t>
  </si>
  <si>
    <t>Elektromos töltőállomás</t>
  </si>
  <si>
    <t>Marketing</t>
  </si>
  <si>
    <t>Üzemeltetési terv</t>
  </si>
  <si>
    <t>Egyéb állandó dologi kiadások</t>
  </si>
  <si>
    <t>Biztosítás</t>
  </si>
  <si>
    <t>havi bruttó bére + járulék</t>
  </si>
  <si>
    <t>Fellépők és hangosítás</t>
  </si>
  <si>
    <t>Biztonsági szolgálat / távfelügyelet</t>
  </si>
  <si>
    <t>EÜ felügyelet</t>
  </si>
  <si>
    <t>Szabadtéri színpad eredménye</t>
  </si>
  <si>
    <t>Takarító</t>
  </si>
  <si>
    <t xml:space="preserve">Projekt címe: </t>
  </si>
  <si>
    <r>
      <t xml:space="preserve">Költségtípusok </t>
    </r>
    <r>
      <rPr>
        <b/>
        <sz val="11"/>
        <color theme="1"/>
        <rFont val="Calibri"/>
        <family val="2"/>
        <charset val="238"/>
      </rPr>
      <t>↓</t>
    </r>
  </si>
  <si>
    <t>Összesen</t>
  </si>
  <si>
    <t xml:space="preserve">Projektelőkészítés költségei
</t>
  </si>
  <si>
    <t>Előzetes tanulmányok, engedélyezési dokumentumok költsége</t>
  </si>
  <si>
    <t>Közbeszerzés költsége</t>
  </si>
  <si>
    <t>Beruházáshoz kapcsolódó költségek</t>
  </si>
  <si>
    <t>Ingatlan vásárlás költségei</t>
  </si>
  <si>
    <t>Ingatlanhoz kapcsolódó, tulajdonszerzéssel nem járó kártalanítási költség</t>
  </si>
  <si>
    <t>Terület-előkészítési költség</t>
  </si>
  <si>
    <t>Építéshez kapcsolódó költségek</t>
  </si>
  <si>
    <t>Eszközbeszerzés költségei</t>
  </si>
  <si>
    <t>Immateriális javak beszerzésének költsége</t>
  </si>
  <si>
    <t>Szakmai megvalósításhoz kapcsolódó szolgáltatások költségei</t>
  </si>
  <si>
    <t>Műszaki ellenőri szolgáltatás költsége</t>
  </si>
  <si>
    <t>Képzéshez kapcsolódó költségek</t>
  </si>
  <si>
    <t>Egyéb szakértői szolgáltatás költségei</t>
  </si>
  <si>
    <t>Marketing, kommunikációs szolgáltatások költségei</t>
  </si>
  <si>
    <t>Kötelezően előírt nyilvánosság biztosításának költsége</t>
  </si>
  <si>
    <t>Projektszintű könyvvizsgálat költsége</t>
  </si>
  <si>
    <t>Szakmai megvalósításhoz kapcsolódó bérleti díj</t>
  </si>
  <si>
    <t>Egyéb szolgáltatási költségek</t>
  </si>
  <si>
    <t>Szakmai megvalósításban közreműködő munkatársak költségei</t>
  </si>
  <si>
    <t>Szakmai megvalósításhoz kapcsolódó személyi jellegű ráfordítás</t>
  </si>
  <si>
    <t>Szakmai megvalósításhoz kapcsolódó útiköltség, kiküldetési költség</t>
  </si>
  <si>
    <t>Projektmenedzsment költség</t>
  </si>
  <si>
    <t>Projektmenedzsment személyi jellegű ráfordítása</t>
  </si>
  <si>
    <t>Projektmenedzsmenthez kapcsolódó útiköltség, kiküldetési költség</t>
  </si>
  <si>
    <t>Projektmenedzsmenthez igénybevett szakértői szolgáltatás díja</t>
  </si>
  <si>
    <t>Egyéb projektmenedzsment költség</t>
  </si>
  <si>
    <t>Általános (rezsi) költség</t>
  </si>
  <si>
    <t>Általános vállalat-irányítási költség</t>
  </si>
  <si>
    <t>Egyéb általános (rezsi) költség</t>
  </si>
  <si>
    <t>Adók, közterhek (ide nem értve a le nem vonható áfát)</t>
  </si>
  <si>
    <t>Tartalék</t>
  </si>
  <si>
    <t>Nem elszámolható költség</t>
  </si>
  <si>
    <t>Megnevezés</t>
  </si>
  <si>
    <t>Kommunikációs terv készítése</t>
  </si>
  <si>
    <t>Lakossági fórum megszervezése</t>
  </si>
  <si>
    <t>Honlapon aloldal létrehozása</t>
  </si>
  <si>
    <t>Sajtómegjelenések összegyűjtése</t>
  </si>
  <si>
    <t>A beruházás helyszínén „B”típusú tábla elkészítése és elhelyezése</t>
  </si>
  <si>
    <t>A beruházás többi helyszínén „C” típusú tábla elkészítése és elhelyezése</t>
  </si>
  <si>
    <t>Sajtóközlemény kiküldése a projekt  zárásáról</t>
  </si>
  <si>
    <t>TÉRKÉPTÉR feltöltése a projekthez kapcsolódó tartalommal</t>
  </si>
  <si>
    <t>Jelenérték</t>
  </si>
  <si>
    <t>1.Beruházási költség</t>
  </si>
  <si>
    <t>2.Működési költség</t>
  </si>
  <si>
    <t>2.1 Üzemeltetési költségek</t>
  </si>
  <si>
    <t>2.2 Karbantartási költségek</t>
  </si>
  <si>
    <t>2.3 Pótlási költségek</t>
  </si>
  <si>
    <t>Infrastruktúra használatához kapcsolódó díjak</t>
  </si>
  <si>
    <t>Föld vagy épületek értékesítése vagy bérbeadása</t>
  </si>
  <si>
    <t>Egyéb, ellenszolgáltatás fejében történő szolgáltatásnyújtás</t>
  </si>
  <si>
    <t>Egyéb bejövő pénzáram összesen</t>
  </si>
  <si>
    <t>Összes bevételi pénzáram</t>
  </si>
  <si>
    <t>Nettó összes pénzügyi pénzáram</t>
  </si>
  <si>
    <t>Pénzügyi nettó jelenérték (FNPV)</t>
  </si>
  <si>
    <t>Pénzügyi belső megtérülési ráta (FRR)</t>
  </si>
  <si>
    <t>Pénzügyi fenntarthatóság</t>
  </si>
  <si>
    <t>Támogatási feltétel: a nettó halmozott pénzügyi pénzáram ne legyen negatív</t>
  </si>
  <si>
    <t xml:space="preserve">1. Pénzügyi beruházási költség </t>
  </si>
  <si>
    <t>2. Pénzügyi működési költség</t>
  </si>
  <si>
    <t>3. Hiteltörlesztés (amennyiben releváns)</t>
  </si>
  <si>
    <t>4. Hitel kamatának törlesztése (amennyiben releváns)</t>
  </si>
  <si>
    <t>5. Kiadási pénzáram 1+2+3+4</t>
  </si>
  <si>
    <t>6. Pénzügyi bevétel</t>
  </si>
  <si>
    <t>7. Egyéb bejövő pénzáram*</t>
  </si>
  <si>
    <t>8. GINOP támogatás</t>
  </si>
  <si>
    <t>9. Saját forrás (10+11)</t>
  </si>
  <si>
    <t>10. Önerő (készpénz, munkaerő hozzájárulás)</t>
  </si>
  <si>
    <t>11. Idegen forrás (12+13)</t>
  </si>
  <si>
    <t>12. Hitel</t>
  </si>
  <si>
    <t>13. Egyéb idegen forrás</t>
  </si>
  <si>
    <t>14. Pénzügyi maradványérték</t>
  </si>
  <si>
    <t>15. Bevételi pénzáram 6+7+8+9</t>
  </si>
  <si>
    <t>16. Nettó összes pénzügyi pénzáram 15-5</t>
  </si>
  <si>
    <t>17. Nettó halmozott pénzügyi pénzáram</t>
  </si>
  <si>
    <t>Park gondozó</t>
  </si>
  <si>
    <t>2 fő</t>
  </si>
  <si>
    <t xml:space="preserve">Gondnok </t>
  </si>
  <si>
    <t>1 fő</t>
  </si>
  <si>
    <t>70000/hó</t>
  </si>
  <si>
    <t>300000/év</t>
  </si>
  <si>
    <t>Rendezvény</t>
  </si>
  <si>
    <t>jegyár</t>
  </si>
  <si>
    <t>látogatók száma</t>
  </si>
  <si>
    <t>jegybevétel</t>
  </si>
  <si>
    <t>Összes rendezvény költség(karbantartás és pótlás nélkül)</t>
  </si>
  <si>
    <t xml:space="preserve">rendezvények száma </t>
  </si>
  <si>
    <t>66 db</t>
  </si>
  <si>
    <t>Tevékenység megnevezése</t>
  </si>
  <si>
    <t>Tevékenység rövid leírása</t>
  </si>
  <si>
    <t>Hajdúszoboszló turisztikai arculatának modernizálása</t>
  </si>
  <si>
    <t>Hajdúszoboszló, mint turisztikai márka korábban kialakított arculatának újragondolása, modernizálása, naprakésszé tétele nélkülözhetetlenné vált. A márka- és arculati kézikönyv, a vizuális elemek megújulása valósul meg ezzel a fejlesztési résszel, ami a marketingkommunikáció alapját adja a későbbiekre nézve.</t>
  </si>
  <si>
    <t>Online PR cikk megjelenések, kampányok</t>
  </si>
  <si>
    <t>Offline nyomtatott hirdetések</t>
  </si>
  <si>
    <t xml:space="preserve">Nyomtatott, nagy példányszámú, elsősorban 60+ korosztályt célzó egészségügyi és gyógyászattal kapcsolatos leírások megjelentetése. Műszaki funkcionalitását tekintve elvárt a kézzel fogható, lapozható, papír alapú kivitelezés.
</t>
  </si>
  <si>
    <t>Óriásplakát-kampány</t>
  </si>
  <si>
    <t>Nagy forgalmú helyekre tervezett kampányaink során elsősorban Budapest és Észak-Magyarország nagyvárosaiban, valamint az azokhoz vezető autópályákon megjelenő plakátokkal zajlana le. Cél az elő- és utószezon erősítése, valamint az turisztikai arculat ismertebbé tétele. A projektelem plakáthely bérlést és plakátkészítést is tartalmaz.</t>
  </si>
  <si>
    <t>Internetes honlapok keresőmarketingje és közösségi oldalak marketingje</t>
  </si>
  <si>
    <t>Tematikus rövidfilmek készítése internetes felhasználásra</t>
  </si>
  <si>
    <t>Ebben a részprojektben tematikus rövid reklámfilmek készülnek elsősorban internetes felhasználásra. Az elkészített anyagok Hajdúszoboszlót, mint turisztikai desztinációt és értékeit bemutató, több médiatípusban felhasználható rövid több témában készülő filmek lesznek.</t>
  </si>
  <si>
    <t>Tematikus információs térképek készítése</t>
  </si>
  <si>
    <t xml:space="preserve">Helyi attrakciók, szolgáltatások bemutatására szolgáló tematikus információs hajdúszoboszlói térképek készítése. </t>
  </si>
  <si>
    <t>Kiemelt és éves rendezvényfüzet készítése</t>
  </si>
  <si>
    <t>A hajdúszoboszlói kiemelt éves rendezvénynaptár a desztináció kiemelt rendezvényeit és fesztiváljait mutatja be rövid leírással 8 nyelven, a kiadvány elérhető a turisták számára a helyi Tourinform irodában, valamint letölthető online formátumban a desztináció hivatalos turisztikai portáljáról.</t>
  </si>
  <si>
    <t>Tematikus kiadványok készítése készítése</t>
  </si>
  <si>
    <t>Információs, PR és szóróanyagok készítése</t>
  </si>
  <si>
    <t>Hajdúszoboszló imázsát, népszerűségét és ismertségét növelő információs, valamint PR és szóróanyagok készítése. Felhasználásuk helyi rendezvényeken, kérdőíves felmérések készítésekor, illetve turisztikai kiállítások és vásárok alkalmával kerülnek "szórásra" a turisták és partnerek körében.</t>
  </si>
  <si>
    <t>TV-s műsorokban való megjelenések</t>
  </si>
  <si>
    <t>Rádiós műsorokban való megjelenések</t>
  </si>
  <si>
    <t>Kreatív anyagok elkészítése</t>
  </si>
  <si>
    <t>Belföldi kiállításokon, fesztiválokon való megjelenés, kitelepülés</t>
  </si>
  <si>
    <t>Tematikus kínálat bemutatásához szükséges reklámfényképek készítése, fotóarchívum kialakítása</t>
  </si>
  <si>
    <t>Zöldfelület gondozás</t>
  </si>
  <si>
    <t>Parkolási díj/nap átlag (főszezonban 1500 Ft szezonon kívül 600 Ft)</t>
  </si>
  <si>
    <t>Nyilvánosság</t>
  </si>
  <si>
    <t>Tervezett keret (bruttó)</t>
  </si>
  <si>
    <t>Megjegyzés</t>
  </si>
  <si>
    <t>Ütemezés</t>
  </si>
  <si>
    <t>2016. III. név</t>
  </si>
  <si>
    <t>2016. IV. név</t>
  </si>
  <si>
    <t>2017. I. név</t>
  </si>
  <si>
    <t>2017. II. név</t>
  </si>
  <si>
    <t>2017. III. név</t>
  </si>
  <si>
    <t>2017. IV. név</t>
  </si>
  <si>
    <t>2018. I. név</t>
  </si>
  <si>
    <t>1 db</t>
  </si>
  <si>
    <t xml:space="preserve">Lakossági fórum megszervezése, a projekt ismertségének, annak tartalmának lakossági megismertetéséért </t>
  </si>
  <si>
    <t>1 db fórum szervezési tevékenysége, vendéglátás</t>
  </si>
  <si>
    <t>Nyomtatott tájékoztatók készítése</t>
  </si>
  <si>
    <t xml:space="preserve">Nyomtatott tájékoztatók (brosúrák, szórólapok, stb.) elkészítése és lakossági terjesztése </t>
  </si>
  <si>
    <t>1000 db A5-ös méretű 2 oldalas FF</t>
  </si>
  <si>
    <t>Aloldal létrehozása az önkormányzati és a turisztikai portálon</t>
  </si>
  <si>
    <t>Sajtóközlemény kiküldése</t>
  </si>
  <si>
    <t>Sajtóközlemény kiküldése a projekt  nyitásáról</t>
  </si>
  <si>
    <t>1 alkalom</t>
  </si>
  <si>
    <t>1 komplett sajtómegjelenési mappa kialakítása, folyamatos</t>
  </si>
  <si>
    <t>Alapkőletétel</t>
  </si>
  <si>
    <t>Sajtó nyilvános esemény szervezése,  sajtótájékoztató (projektnyitó, részprojekt)</t>
  </si>
  <si>
    <t>1 db 50 fő részvételével, vendéglátással</t>
  </si>
  <si>
    <r>
      <t>„B” típusú</t>
    </r>
    <r>
      <rPr>
        <sz val="9"/>
        <color rgb="FF000000"/>
        <rFont val="Calibri"/>
        <family val="2"/>
        <charset val="238"/>
        <scheme val="minor"/>
      </rPr>
      <t xml:space="preserve"> tábla</t>
    </r>
  </si>
  <si>
    <r>
      <t>„C” típusú</t>
    </r>
    <r>
      <rPr>
        <sz val="9"/>
        <color rgb="FF000000"/>
        <rFont val="Calibri"/>
        <family val="2"/>
        <charset val="238"/>
        <scheme val="minor"/>
      </rPr>
      <t xml:space="preserve"> tábla</t>
    </r>
  </si>
  <si>
    <t>2 db</t>
  </si>
  <si>
    <t>Médiamegjelenés</t>
  </si>
  <si>
    <t>Médiamegjelenés vásárlása a projekthez kapcsolódóan</t>
  </si>
  <si>
    <t>2 alkalommal 2-2 db nyomtatott megjelenés</t>
  </si>
  <si>
    <t>Fotódokumentáció</t>
  </si>
  <si>
    <t>Fotódokumentáció készítése, fotózási szolgáltatás igénybevétellel</t>
  </si>
  <si>
    <t>1 komplett fotóarchivum létrehozása a projektről</t>
  </si>
  <si>
    <t>Eredménykommunikációs szórólap</t>
  </si>
  <si>
    <t xml:space="preserve">500 db  2 oldalas, 4 szín, LA4 </t>
  </si>
  <si>
    <t>Sajtóközlemény</t>
  </si>
  <si>
    <t>Projektzáró rendezvény</t>
  </si>
  <si>
    <t xml:space="preserve">Sajtónyilvános ünnepélyes projektátadó rendezvény </t>
  </si>
  <si>
    <t>TÉRKÉPTÉR</t>
  </si>
  <si>
    <t>folyamatos</t>
  </si>
  <si>
    <r>
      <t>„D” típusú</t>
    </r>
    <r>
      <rPr>
        <sz val="9"/>
        <color rgb="FF000000"/>
        <rFont val="Calibri"/>
        <family val="2"/>
        <charset val="238"/>
        <scheme val="minor"/>
      </rPr>
      <t xml:space="preserve"> tábla</t>
    </r>
  </si>
  <si>
    <r>
      <t>A beruházás helyszínén „D” típusú</t>
    </r>
    <r>
      <rPr>
        <sz val="9"/>
        <color rgb="FF000000"/>
        <rFont val="Calibri"/>
        <family val="2"/>
        <charset val="238"/>
        <scheme val="minor"/>
      </rPr>
      <t xml:space="preserve"> A3-as tábla elkészítése és elhelyezése</t>
    </r>
  </si>
  <si>
    <t>3 db</t>
  </si>
  <si>
    <t>1 db komplett márka- és arculati kézikönyv</t>
  </si>
  <si>
    <t>A részprojekt keretében a város turisztikai marketingstratégiájának megfelelő kampányok indulnak az online médiumokban. A kampányok célja, hogy Hajdúszoboszló ismertségét növeljék, az új arculatnak megfelelően, népszerűsítsék a szolgáltatásokat, és specifikáltan érjék el a célpiacok potenciális turistáit. A public relations cikkek és kapcsolódó online megjelenések célja, a nagy látogatottságú tematikus online oldalakon, elsősorban 35-60 éves korosztály elérésével, a hírértékűvé formált wellness és szórakozás témájú üzenetekből született megjelenésekkel az egyének, szervezetek és környezetük közötti megértés és bizalom megteremtése, fenntartása, valamint esetleges későbbi érdeklődés felkeltése. Műszaki funkcionalitását tekintve elvárt az online felületen történő megjelenés, amelyet a célcsoport személyi számítógép és laptop monitoron olvashat.</t>
  </si>
  <si>
    <t>Negyedéves ütemezéssel futtatott online marketing mix csomagok, amelyek az adott időszaknak megfelelő célcsoportokra irányulnak válozó megjelenési felületekkel. A mix tartalmaz PR cikk megjelenéseket, képes-szöveges ajánlókat, banneres megjelenéseket, kattintás és megtekintés alapú hirdetéseket, blog bejegyzéseket.</t>
  </si>
  <si>
    <t>Negyedévente 2 db hirdetés megjelentetése, összesen 10 db.</t>
  </si>
  <si>
    <t>Negyedévente 4 db Standard (eur) méretű óriásplakát megjelentetése. Ezekből 2 db Budapest közeli, 2 db Észak-magyarországi nagyváros közeli kihelyezéssel.</t>
  </si>
  <si>
    <t>Hajdúszoboszló hivatalos weboldalának az internetes keresőben elért eredményeit javítandó, releváns kulcsszavakra irányuló, kattintás alapú adwords kampányok, illetve a legnagyobb közösségi odalon a város hivatalos turisztikai facebook oldalának, youtube csatornájának népszerűsítését célzó kampányok. Internetes keresőmarketing elemekként a CPC típusú adwords megjelenések, valamint a közösségi oldalunk szintén megjelenésenkénti és aktivitásonkénti hirdetéseket tervezzük, elsősorban mobil eszközökre optimalizálva, a 18-35 éves korosztályra fókuszálva. Ezek célja a honlapunk és közösségi oldalunk látogatottságának növelése, ezáltal a tematikus kínálatunk és szolgáltatásaink ismertségének növelése. Műszaki funkcionalitását tekintve elvárt a mobiltelefonokon, okostelefonon, okoskészülékeken, tableteken való megjelenés.</t>
  </si>
  <si>
    <t>Negyedévente adwords kampányok futtatása különböző turisztikai termékeinkre, különböző kulcsszókészletekkel. (1.200.000,- Ft) A város hivatalos turisztikai facebook oldalának promótálása (400.000,- Ft), valamint youtube csatornájának videókamányai (200.000,- Ft)</t>
  </si>
  <si>
    <t>6 db rövid (15 - 60 mp közötti), különböző tematikában készülő kisfilmek.</t>
  </si>
  <si>
    <t>4 típusú, 8.000 db típusonként, összesen 32.000 db</t>
  </si>
  <si>
    <t>Ütemezésenként 8.000 db, összesen 16.000 db.</t>
  </si>
  <si>
    <t>A hajdúszoboszlói főbb attrakcióit, tematikus kínálatát mutatja be rövid leírással 8 nyelven. Invitatív kiadvány, amely elsősorban a turisztikai vásárok, rendezvények, kitelepülések alkalmával kerülnek terjesztésre a turisták számára. A kiadványok a Tourinform irodai hálózatban is kiküldésre kerülnek, valamint letölthető online formátumban a desztináció hivatalos turisztikai portáljáról.</t>
  </si>
  <si>
    <t>Ütemezésenként 4.500 db, összesen 9.000 db.</t>
  </si>
  <si>
    <t>Ütemezésenként különböző szóró- és ajándéktárgyakból összeállított mix 900 db, összesen 1.800 db.</t>
  </si>
  <si>
    <t xml:space="preserve">A TV műsorokban való megjelenéseket az országos és regionális csatornákon műsorszponzorációs miniszpotként vagy turisztikai témájú mini sorozatokban való megjelenések jelentik. </t>
  </si>
  <si>
    <t>Negyedévente 3 db különböző típusú TV-s megjelenés, összesen 15 db.</t>
  </si>
  <si>
    <t xml:space="preserve">Az országos és regionális rádióadásokban tervezett megjelenések, melyek célcsoportjainak küldőterüketei. pl.: Budapest és környéke, Észak-Magyarország, Észak-Alföld. A rádió megjelenések a hajdúszoboszlói imázs erősítését és a programok hirdetését célozzák meg. A hirdetések mindig az adott időszak programjaira és szolgáltatásaira fókuszálnának. </t>
  </si>
  <si>
    <t>Negyedévente 2 db rádió mix csomag hirdetés, összesen 10 db.</t>
  </si>
  <si>
    <t>Kreatív anyagok folyamatosan szükségesek, az online megjelenésekhez. Nagyon fontos, hogy ezek az anyagok magas színvonalú, kifogástalan minőségben készüljenek, ezért szükséges, hogy egy szakismerettel rendelkező cég készítse el ezen anyagokat, hiszen ezen kreatívok alakítják a desztináció megítélését elsőként.</t>
  </si>
  <si>
    <t>A kreatív anyagok elkészítése szolgáltatást negyedéven bontásban vesszük igénybe. (összesen 650 munkaóra)</t>
  </si>
  <si>
    <t>A belföldi kiállításokon, fesztiválokon való megjelenések, kitelepülések fontosak a turistákkal történő közvetlen kapcsolattartás érdekében, ahol az aktuális információkról, tájékozódhatnak az érdeklődők. A személyes kontaktus által erősödik a desztináció iránti bizalom, megerősödik az utazási döntés, mely a látogatószám növekedéséhez vezet.</t>
  </si>
  <si>
    <t>Összesen 6 db kitelepülés, vásári részvételt tervezünk.</t>
  </si>
  <si>
    <t>A weboldal fejlesztéséhez és az online hirdetésekhez szükséges kreatívok elkészítéséhez is szükség van jó minőségű fotókra a desztinációról, rendezvényekről, attrakciókról, melyek a látogatók megelégedettségét, bizalmát növelik a termékkínálat minőségi fotók általi bemutatásával, fotóarchívum létrehozása mellett.</t>
  </si>
  <si>
    <t>A fotózási szolgáltatást negyedéven bontásban vesszük igénybe. (összesen 200 munkaóra)</t>
  </si>
  <si>
    <t>Rendezvény jegybevétel</t>
  </si>
  <si>
    <t>Bevételek</t>
  </si>
  <si>
    <t>Pavilonok bérleti díja</t>
  </si>
  <si>
    <t>Parkolási díjak</t>
  </si>
  <si>
    <t>Összes bevétel</t>
  </si>
  <si>
    <t>Kiadások</t>
  </si>
  <si>
    <t>Munkabér</t>
  </si>
  <si>
    <t>Színpad</t>
  </si>
  <si>
    <t>Kerékpár megőrző</t>
  </si>
  <si>
    <t>áram</t>
  </si>
  <si>
    <t>víz</t>
  </si>
  <si>
    <t>fűtés</t>
  </si>
  <si>
    <t>hulladék</t>
  </si>
  <si>
    <t>internet</t>
  </si>
  <si>
    <t>Egyéb dologi kiadás</t>
  </si>
  <si>
    <t>Rendezvények költségei</t>
  </si>
  <si>
    <t xml:space="preserve">Összes működési költség </t>
  </si>
  <si>
    <t>Összes karbantartási költség</t>
  </si>
  <si>
    <t>Összes pótlási költség</t>
  </si>
  <si>
    <t>Bérleti díj/hó/pavilon 8 bódé 3700 Ft/m2 napi áron 90 napon keresztül 17 316 000 Ft bevétel, ajándékos bódé 3 üzlethelyiséggel egyenként havi 140 000 Ft bérleti díjjal 5 040 000 Ft bevétel</t>
  </si>
  <si>
    <t>Eredmény</t>
  </si>
  <si>
    <t>Bevétel</t>
  </si>
  <si>
    <t>Költség</t>
  </si>
  <si>
    <t>Költségek és bevételek összegzése (Szabadtéri színpad)</t>
  </si>
  <si>
    <t>Költségek és bevételek összegzése (pénzügyi elemzés) teljes projekt</t>
  </si>
  <si>
    <t>Maradványérték</t>
  </si>
  <si>
    <t>Összes maradványérték</t>
  </si>
  <si>
    <t>Park (szökőkűttal, kerékpármegőrzővel)</t>
  </si>
  <si>
    <t>Szabadtéri színpad Kiadások</t>
  </si>
  <si>
    <t>Biztonsági szolg/ távfelügy</t>
  </si>
  <si>
    <t>Bérköltség</t>
  </si>
  <si>
    <t>1 339 215</t>
  </si>
  <si>
    <t>1 691 640</t>
  </si>
  <si>
    <t>Összes rendezvény</t>
  </si>
  <si>
    <t>Összes költség</t>
  </si>
  <si>
    <t>Park (szökőkúttal, kerékpármegőrzővel)</t>
  </si>
  <si>
    <t>Egyéb műszaki jellegű szolgáltatások költsége (Rehab szakmérnök, energia tanúsítvány)</t>
  </si>
  <si>
    <t xml:space="preserve">Támogatás igénylő neve: </t>
  </si>
  <si>
    <t>Hajdúszoboszló Város Önkormányzata</t>
  </si>
  <si>
    <t>Hajdúszoboszló gyógyparkjának megújítása</t>
  </si>
  <si>
    <t>Költségtípus</t>
  </si>
  <si>
    <t>nettó</t>
  </si>
  <si>
    <t>áfa</t>
  </si>
  <si>
    <t>bruttó</t>
  </si>
  <si>
    <t>elszámolható ktg</t>
  </si>
  <si>
    <t>Saját forrásból megvalósított projekten belül</t>
  </si>
  <si>
    <t>Projektelőkészítés (közbeszerzés nélül)</t>
  </si>
  <si>
    <t>Projektelőkészítés összesen</t>
  </si>
  <si>
    <t>pm szakértői szolgáltatás díja</t>
  </si>
  <si>
    <t>Engedélyes és kiviteli tervek, ezek hatósági díja</t>
  </si>
  <si>
    <t>Közbeszerzés (szakértő és eljárás díja)</t>
  </si>
  <si>
    <t>Megvalósítás</t>
  </si>
  <si>
    <t>Építés összesen</t>
  </si>
  <si>
    <t>Gyógypark felújítása</t>
  </si>
  <si>
    <t>Attrakció, vendégfogadó tér</t>
  </si>
  <si>
    <t>Főtev. Kapcs infrastruktúra (töltőáll)</t>
  </si>
  <si>
    <t>Parkoló, Közlekedés</t>
  </si>
  <si>
    <t>Vonzó városkép</t>
  </si>
  <si>
    <t>Rendezvény helyszín - színpad infrastrúktúra</t>
  </si>
  <si>
    <t>Vendégfogadó tér</t>
  </si>
  <si>
    <t>Fő tev kapcs pavilonok</t>
  </si>
  <si>
    <t>Eszközbeszerzés</t>
  </si>
  <si>
    <t>Gyógypark-  attrakció</t>
  </si>
  <si>
    <t>Gyógypark- parkoló, közlekedés</t>
  </si>
  <si>
    <t xml:space="preserve">Vonzó városkép </t>
  </si>
  <si>
    <t>Fogyatékos</t>
  </si>
  <si>
    <t>Rendezvény helyszín- parkoló, közlekedés</t>
  </si>
  <si>
    <t>Vendégfogadó tér eszköz</t>
  </si>
  <si>
    <t>Pavilonok eszköz</t>
  </si>
  <si>
    <t>Egyéb megvalósítással kapcsolatos költségek</t>
  </si>
  <si>
    <t>Megvalósításhoz kapcsolódó szolgáltatások</t>
  </si>
  <si>
    <t>Műszaki ellenőr</t>
  </si>
  <si>
    <t>Rehabilitációs környezettervező szakmérnök/szakértő</t>
  </si>
  <si>
    <t>Energiatanúsítvány</t>
  </si>
  <si>
    <t>Kötelező nyilvánosság</t>
  </si>
  <si>
    <t>Projektmenedzsment</t>
  </si>
  <si>
    <t>szakmai megvalósításban közreműk</t>
  </si>
  <si>
    <t>ÖSSZESEN</t>
  </si>
  <si>
    <t>IGÉNYELT TÁMOGATÁS</t>
  </si>
  <si>
    <t>Mértéke az összes elszámolható költségre vetítve max.  (%)</t>
  </si>
  <si>
    <t>Mértéke az összes elszámolható költségre vetítve max.  (Ft)</t>
  </si>
  <si>
    <t>betervezett (Ft)</t>
  </si>
  <si>
    <t>Költségvetési korlát túllépés?</t>
  </si>
  <si>
    <t>Projekt előkészítés, tervezés (kivéve közbeszerzési eljárások lefolytatásának költsége)</t>
  </si>
  <si>
    <t>Közbeszerzési eljárások lefolytatása</t>
  </si>
  <si>
    <t>Ingatlan vásárlás</t>
  </si>
  <si>
    <t>Műszaki ellenőri szolgáltatás</t>
  </si>
  <si>
    <t>rendezvény infrastruktúra</t>
  </si>
  <si>
    <t>parkolók, közlekedés</t>
  </si>
  <si>
    <t>pavilonok</t>
  </si>
  <si>
    <t xml:space="preserve">1. pont tevékenységek  minimum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</si>
</sst>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H_U_F_-;\-* #,##0.00\ _H_U_F_-;_-* &quot;-&quot;??\ _H_U_F_-;_-@_-"/>
    <numFmt numFmtId="164" formatCode="_-* #,##0\ _H_U_F_-;\-* #,##0\ _H_U_F_-;_-* &quot;-&quot;??\ _H_U_F_-;_-@_-"/>
    <numFmt numFmtId="165" formatCode="#,##0\ &quot;Ft&quot;"/>
    <numFmt numFmtId="167" formatCode="_-* #,##0\ _F_t_-;\-* #,##0\ _F_t_-;_-* &quot;-&quot;??\ _F_t_-;_-@_-"/>
  </numFmts>
  <fonts count="3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i/>
      <sz val="11"/>
      <color theme="1"/>
      <name val="Calibri"/>
      <family val="2"/>
      <charset val="238"/>
      <scheme val="minor"/>
    </font>
    <font>
      <b/>
      <sz val="14"/>
      <color theme="1"/>
      <name val="Calibri"/>
      <family val="2"/>
      <charset val="238"/>
      <scheme val="minor"/>
    </font>
    <font>
      <b/>
      <sz val="11"/>
      <color theme="1"/>
      <name val="Calibri"/>
      <family val="2"/>
      <charset val="238"/>
    </font>
    <font>
      <b/>
      <sz val="10"/>
      <color rgb="FF000000"/>
      <name val="Arial"/>
      <family val="2"/>
      <charset val="238"/>
    </font>
    <font>
      <sz val="11"/>
      <name val="Calibri"/>
      <family val="2"/>
      <charset val="238"/>
      <scheme val="minor"/>
    </font>
    <font>
      <b/>
      <sz val="11"/>
      <name val="Calibri"/>
      <family val="2"/>
      <charset val="238"/>
      <scheme val="minor"/>
    </font>
    <font>
      <b/>
      <sz val="11"/>
      <color indexed="8"/>
      <name val="Calibri"/>
      <family val="2"/>
      <charset val="238"/>
    </font>
    <font>
      <b/>
      <sz val="14"/>
      <name val="Arial"/>
      <family val="2"/>
      <charset val="238"/>
    </font>
    <font>
      <sz val="10"/>
      <name val="Arial"/>
      <family val="2"/>
      <charset val="238"/>
    </font>
    <font>
      <sz val="10"/>
      <color indexed="8"/>
      <name val="Arial"/>
      <family val="2"/>
      <charset val="238"/>
    </font>
    <font>
      <sz val="10"/>
      <color indexed="9"/>
      <name val="Arial"/>
      <family val="2"/>
      <charset val="238"/>
    </font>
    <font>
      <b/>
      <sz val="10"/>
      <color indexed="8"/>
      <name val="Arial"/>
      <family val="2"/>
      <charset val="238"/>
    </font>
    <font>
      <sz val="10"/>
      <color indexed="12"/>
      <name val="Arial"/>
      <family val="2"/>
      <charset val="238"/>
    </font>
    <font>
      <i/>
      <sz val="10"/>
      <name val="Arial"/>
      <family val="2"/>
      <charset val="238"/>
    </font>
    <font>
      <i/>
      <sz val="10"/>
      <color indexed="8"/>
      <name val="Arial"/>
      <family val="2"/>
      <charset val="238"/>
    </font>
    <font>
      <b/>
      <sz val="10"/>
      <name val="Arial"/>
      <family val="2"/>
      <charset val="238"/>
    </font>
    <font>
      <sz val="10"/>
      <color indexed="10"/>
      <name val="Arial"/>
      <family val="2"/>
      <charset val="238"/>
    </font>
    <font>
      <sz val="11"/>
      <color rgb="FFFF0000"/>
      <name val="Calibri"/>
      <family val="2"/>
      <charset val="238"/>
      <scheme val="minor"/>
    </font>
    <font>
      <sz val="9"/>
      <color theme="1"/>
      <name val="Calibri"/>
      <family val="2"/>
      <charset val="238"/>
      <scheme val="minor"/>
    </font>
    <font>
      <b/>
      <sz val="18"/>
      <color theme="1"/>
      <name val="Calibri"/>
      <family val="2"/>
      <charset val="238"/>
      <scheme val="minor"/>
    </font>
    <font>
      <sz val="9"/>
      <color rgb="FF000000"/>
      <name val="Calibri"/>
      <family val="2"/>
      <charset val="238"/>
      <scheme val="minor"/>
    </font>
    <font>
      <sz val="12"/>
      <color theme="1"/>
      <name val="Times New Roman"/>
      <family val="1"/>
      <charset val="238"/>
    </font>
    <font>
      <b/>
      <sz val="8"/>
      <color rgb="FF000000"/>
      <name val="Garamond"/>
      <family val="1"/>
      <charset val="238"/>
    </font>
    <font>
      <b/>
      <sz val="8"/>
      <color theme="1"/>
      <name val="Garamond"/>
      <family val="1"/>
      <charset val="238"/>
    </font>
    <font>
      <sz val="8"/>
      <color rgb="FF000000"/>
      <name val="Garamond"/>
      <family val="1"/>
      <charset val="238"/>
    </font>
    <font>
      <b/>
      <sz val="10"/>
      <color indexed="9"/>
      <name val="Arial"/>
      <family val="2"/>
      <charset val="238"/>
    </font>
    <font>
      <b/>
      <sz val="10"/>
      <color theme="0"/>
      <name val="Arial"/>
      <family val="2"/>
      <charset val="238"/>
    </font>
    <font>
      <sz val="10"/>
      <color rgb="FF000000"/>
      <name val="Arial"/>
      <family val="2"/>
      <charset val="238"/>
    </font>
    <font>
      <b/>
      <sz val="11"/>
      <color rgb="FFFF0000"/>
      <name val="Calibri"/>
      <family val="2"/>
      <charset val="238"/>
      <scheme val="minor"/>
    </font>
  </fonts>
  <fills count="18">
    <fill>
      <patternFill patternType="none"/>
    </fill>
    <fill>
      <patternFill patternType="gray125"/>
    </fill>
    <fill>
      <patternFill patternType="solid">
        <fgColor theme="0"/>
        <bgColor indexed="64"/>
      </patternFill>
    </fill>
    <fill>
      <patternFill patternType="solid">
        <fgColor rgb="FFA8D08D"/>
        <bgColor indexed="64"/>
      </patternFill>
    </fill>
    <fill>
      <patternFill patternType="solid">
        <fgColor indexed="6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rgb="FF00B0F0"/>
        <bgColor indexed="64"/>
      </patternFill>
    </fill>
    <fill>
      <patternFill patternType="solid">
        <fgColor indexed="11"/>
        <bgColor indexed="64"/>
      </patternFill>
    </fill>
    <fill>
      <patternFill patternType="solid">
        <fgColor theme="9"/>
        <bgColor indexed="64"/>
      </patternFill>
    </fill>
    <fill>
      <patternFill patternType="solid">
        <fgColor indexed="5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2">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9" fontId="0" fillId="0" borderId="0" xfId="0" applyNumberFormat="1"/>
    <xf numFmtId="0" fontId="0" fillId="0" borderId="0" xfId="0" applyFont="1"/>
    <xf numFmtId="0" fontId="3" fillId="0" borderId="0" xfId="0" applyFont="1"/>
    <xf numFmtId="0" fontId="0" fillId="0" borderId="0" xfId="0" applyAlignment="1">
      <alignment wrapText="1"/>
    </xf>
    <xf numFmtId="0" fontId="3" fillId="0" borderId="0" xfId="0" applyFont="1" applyAlignment="1">
      <alignment wrapText="1"/>
    </xf>
    <xf numFmtId="0" fontId="2" fillId="0" borderId="0" xfId="0" applyFont="1" applyAlignment="1">
      <alignment wrapText="1"/>
    </xf>
    <xf numFmtId="0" fontId="0" fillId="2" borderId="1" xfId="0" applyFill="1" applyBorder="1"/>
    <xf numFmtId="0" fontId="0" fillId="0" borderId="1" xfId="0" applyBorder="1"/>
    <xf numFmtId="0" fontId="0" fillId="0" borderId="1" xfId="0" applyBorder="1" applyAlignment="1">
      <alignment horizontal="left" vertical="top" wrapText="1"/>
    </xf>
    <xf numFmtId="0" fontId="0" fillId="0" borderId="1" xfId="0" applyBorder="1" applyAlignment="1">
      <alignment wrapText="1"/>
    </xf>
    <xf numFmtId="0" fontId="7" fillId="0" borderId="1" xfId="0" applyFont="1" applyFill="1" applyBorder="1" applyAlignment="1">
      <alignment wrapText="1"/>
    </xf>
    <xf numFmtId="0" fontId="0" fillId="0" borderId="1" xfId="0" applyFont="1" applyFill="1" applyBorder="1" applyAlignment="1">
      <alignment wrapText="1"/>
    </xf>
    <xf numFmtId="0" fontId="0" fillId="0" borderId="1" xfId="0" applyFont="1" applyFill="1" applyBorder="1" applyAlignment="1">
      <alignment vertical="top" wrapText="1"/>
    </xf>
    <xf numFmtId="0" fontId="9" fillId="0" borderId="5" xfId="0" applyFont="1" applyFill="1" applyBorder="1" applyProtection="1"/>
    <xf numFmtId="0" fontId="9" fillId="0" borderId="5" xfId="0" applyFont="1" applyFill="1" applyBorder="1" applyAlignment="1" applyProtection="1">
      <alignment wrapText="1"/>
    </xf>
    <xf numFmtId="0" fontId="9" fillId="0" borderId="6" xfId="0" applyFont="1" applyFill="1" applyBorder="1" applyAlignment="1" applyProtection="1">
      <alignment wrapText="1"/>
    </xf>
    <xf numFmtId="3" fontId="11" fillId="0" borderId="0" xfId="0" applyNumberFormat="1" applyFont="1" applyFill="1" applyAlignment="1" applyProtection="1">
      <alignment wrapText="1"/>
    </xf>
    <xf numFmtId="0" fontId="12" fillId="0" borderId="0" xfId="0" applyFont="1" applyProtection="1"/>
    <xf numFmtId="3" fontId="12" fillId="0" borderId="0" xfId="0" applyNumberFormat="1" applyFont="1" applyProtection="1"/>
    <xf numFmtId="3" fontId="11" fillId="0" borderId="0" xfId="0" applyNumberFormat="1" applyFont="1" applyProtection="1"/>
    <xf numFmtId="3" fontId="13" fillId="0" borderId="0" xfId="0" applyNumberFormat="1" applyFont="1" applyProtection="1"/>
    <xf numFmtId="0" fontId="13" fillId="4" borderId="1" xfId="0" applyFont="1" applyFill="1" applyBorder="1" applyAlignment="1" applyProtection="1">
      <alignment horizontal="center" wrapText="1"/>
    </xf>
    <xf numFmtId="1" fontId="13" fillId="4" borderId="1" xfId="0" applyNumberFormat="1" applyFont="1" applyFill="1" applyBorder="1" applyAlignment="1" applyProtection="1">
      <alignment horizontal="center"/>
    </xf>
    <xf numFmtId="3" fontId="11" fillId="0" borderId="1" xfId="0" applyNumberFormat="1" applyFont="1" applyFill="1" applyBorder="1" applyAlignment="1" applyProtection="1">
      <alignment horizontal="left" vertical="top" wrapText="1"/>
    </xf>
    <xf numFmtId="3" fontId="14" fillId="0" borderId="1" xfId="0" applyNumberFormat="1" applyFont="1" applyBorder="1" applyProtection="1"/>
    <xf numFmtId="3" fontId="11" fillId="0" borderId="1" xfId="0" applyNumberFormat="1" applyFont="1" applyFill="1" applyBorder="1"/>
    <xf numFmtId="3" fontId="12" fillId="0" borderId="1" xfId="0" applyNumberFormat="1" applyFont="1" applyBorder="1" applyProtection="1"/>
    <xf numFmtId="3" fontId="15" fillId="0" borderId="1" xfId="0" applyNumberFormat="1" applyFont="1" applyBorder="1" applyProtection="1"/>
    <xf numFmtId="3" fontId="16" fillId="0" borderId="1" xfId="0" applyNumberFormat="1" applyFont="1" applyFill="1" applyBorder="1" applyAlignment="1" applyProtection="1">
      <alignment horizontal="left" vertical="top" wrapText="1"/>
    </xf>
    <xf numFmtId="3" fontId="17" fillId="0" borderId="1" xfId="0" applyNumberFormat="1" applyFont="1" applyBorder="1" applyProtection="1"/>
    <xf numFmtId="3" fontId="18" fillId="0" borderId="1" xfId="0" applyNumberFormat="1" applyFont="1" applyFill="1" applyBorder="1" applyAlignment="1" applyProtection="1">
      <alignment horizontal="left" vertical="top" wrapText="1"/>
    </xf>
    <xf numFmtId="3" fontId="18" fillId="0" borderId="0" xfId="0" applyNumberFormat="1" applyFont="1" applyFill="1" applyBorder="1" applyAlignment="1" applyProtection="1">
      <alignment wrapText="1"/>
    </xf>
    <xf numFmtId="3" fontId="14" fillId="0" borderId="0" xfId="0" applyNumberFormat="1" applyFont="1" applyBorder="1" applyProtection="1"/>
    <xf numFmtId="0" fontId="13" fillId="4" borderId="7" xfId="0" applyFont="1" applyFill="1" applyBorder="1" applyAlignment="1" applyProtection="1">
      <alignment horizontal="center" wrapText="1"/>
    </xf>
    <xf numFmtId="1" fontId="13" fillId="4" borderId="7" xfId="0" applyNumberFormat="1" applyFont="1" applyFill="1" applyBorder="1" applyAlignment="1" applyProtection="1">
      <alignment horizontal="center"/>
    </xf>
    <xf numFmtId="3" fontId="12" fillId="0" borderId="1" xfId="0" applyNumberFormat="1" applyFont="1" applyBorder="1" applyAlignment="1" applyProtection="1">
      <alignment horizontal="left" vertical="top" wrapText="1"/>
    </xf>
    <xf numFmtId="0" fontId="18" fillId="0" borderId="1" xfId="0" applyFont="1" applyFill="1" applyBorder="1" applyAlignment="1" applyProtection="1">
      <alignment horizontal="left" vertical="top" wrapText="1"/>
    </xf>
    <xf numFmtId="3" fontId="18" fillId="0" borderId="1" xfId="0" applyNumberFormat="1" applyFont="1" applyFill="1" applyBorder="1" applyAlignment="1" applyProtection="1">
      <alignment horizontal="right" vertical="top" wrapText="1"/>
    </xf>
    <xf numFmtId="0" fontId="11" fillId="0" borderId="1" xfId="0" applyFont="1" applyFill="1" applyBorder="1" applyAlignment="1" applyProtection="1">
      <alignment horizontal="left" vertical="top" wrapText="1"/>
    </xf>
    <xf numFmtId="3" fontId="18" fillId="0" borderId="1" xfId="0" applyNumberFormat="1" applyFont="1" applyFill="1" applyBorder="1" applyAlignment="1" applyProtection="1">
      <alignment vertical="top" wrapText="1"/>
    </xf>
    <xf numFmtId="3" fontId="19" fillId="0" borderId="0" xfId="0" applyNumberFormat="1" applyFont="1" applyProtection="1"/>
    <xf numFmtId="0" fontId="12" fillId="0" borderId="0" xfId="0" applyFont="1" applyFill="1" applyProtection="1"/>
    <xf numFmtId="10" fontId="18" fillId="0" borderId="1" xfId="2" applyNumberFormat="1" applyFont="1" applyFill="1" applyBorder="1" applyAlignment="1" applyProtection="1">
      <alignment vertical="top" wrapText="1"/>
    </xf>
    <xf numFmtId="0" fontId="12" fillId="0" borderId="0" xfId="0" applyFont="1" applyAlignment="1" applyProtection="1">
      <alignment wrapText="1"/>
    </xf>
    <xf numFmtId="3" fontId="19" fillId="0" borderId="0" xfId="0" applyNumberFormat="1" applyFont="1" applyAlignment="1" applyProtection="1">
      <alignment horizontal="left" vertical="top" wrapText="1"/>
    </xf>
    <xf numFmtId="3" fontId="11" fillId="0" borderId="1" xfId="0" applyNumberFormat="1" applyFont="1" applyBorder="1" applyAlignment="1" applyProtection="1">
      <alignment vertical="top" wrapText="1"/>
    </xf>
    <xf numFmtId="0" fontId="20" fillId="0" borderId="0" xfId="0" applyFont="1"/>
    <xf numFmtId="0" fontId="21" fillId="0" borderId="1" xfId="0" applyFont="1" applyBorder="1" applyAlignment="1">
      <alignment vertical="center" wrapText="1"/>
    </xf>
    <xf numFmtId="0" fontId="2" fillId="0" borderId="1" xfId="0" applyFont="1" applyBorder="1" applyAlignment="1">
      <alignment horizontal="center" vertical="center"/>
    </xf>
    <xf numFmtId="165" fontId="21" fillId="0" borderId="1" xfId="0" applyNumberFormat="1" applyFont="1" applyBorder="1" applyAlignment="1">
      <alignment horizontal="center" vertical="center"/>
    </xf>
    <xf numFmtId="165" fontId="21" fillId="5" borderId="1" xfId="0" applyNumberFormat="1" applyFont="1" applyFill="1" applyBorder="1" applyAlignment="1">
      <alignment horizontal="center" vertical="center"/>
    </xf>
    <xf numFmtId="0" fontId="0" fillId="0" borderId="0" xfId="0" applyAlignment="1">
      <alignment horizontal="center"/>
    </xf>
    <xf numFmtId="0" fontId="21" fillId="7" borderId="1" xfId="0" applyFont="1" applyFill="1" applyBorder="1" applyAlignment="1">
      <alignment vertical="center" wrapText="1"/>
    </xf>
    <xf numFmtId="165" fontId="21" fillId="7" borderId="1" xfId="0" applyNumberFormat="1" applyFont="1" applyFill="1" applyBorder="1" applyAlignment="1">
      <alignment horizontal="center" vertical="center"/>
    </xf>
    <xf numFmtId="0" fontId="21" fillId="7" borderId="1" xfId="0" applyNumberFormat="1" applyFont="1" applyFill="1" applyBorder="1" applyAlignment="1">
      <alignment horizontal="left" vertical="center" wrapText="1"/>
    </xf>
    <xf numFmtId="0" fontId="0" fillId="7" borderId="1" xfId="0" applyFill="1" applyBorder="1"/>
    <xf numFmtId="0" fontId="21" fillId="8" borderId="1" xfId="0" applyFont="1" applyFill="1" applyBorder="1" applyAlignment="1">
      <alignment vertical="center" wrapText="1"/>
    </xf>
    <xf numFmtId="165" fontId="21" fillId="8" borderId="1" xfId="0" applyNumberFormat="1" applyFont="1" applyFill="1" applyBorder="1" applyAlignment="1">
      <alignment horizontal="center" vertical="center"/>
    </xf>
    <xf numFmtId="0" fontId="21" fillId="8" borderId="1" xfId="0" applyNumberFormat="1" applyFont="1" applyFill="1" applyBorder="1" applyAlignment="1">
      <alignment horizontal="left" vertical="center" wrapText="1"/>
    </xf>
    <xf numFmtId="0" fontId="0" fillId="8" borderId="1" xfId="0" applyFill="1" applyBorder="1"/>
    <xf numFmtId="0" fontId="21" fillId="9" borderId="1" xfId="0" applyFont="1" applyFill="1" applyBorder="1" applyAlignment="1">
      <alignment vertical="center" wrapText="1"/>
    </xf>
    <xf numFmtId="165" fontId="21" fillId="9" borderId="1" xfId="0" applyNumberFormat="1" applyFont="1" applyFill="1" applyBorder="1" applyAlignment="1">
      <alignment horizontal="center" vertical="center"/>
    </xf>
    <xf numFmtId="0" fontId="21" fillId="9" borderId="1" xfId="0" applyNumberFormat="1" applyFont="1" applyFill="1" applyBorder="1" applyAlignment="1">
      <alignment horizontal="left" vertical="center" wrapText="1"/>
    </xf>
    <xf numFmtId="0" fontId="0" fillId="9" borderId="1" xfId="0" applyFill="1" applyBorder="1"/>
    <xf numFmtId="165" fontId="21" fillId="0" borderId="1" xfId="0" applyNumberFormat="1" applyFont="1" applyBorder="1" applyAlignment="1">
      <alignment horizontal="left" vertical="center"/>
    </xf>
    <xf numFmtId="165" fontId="21" fillId="0" borderId="1" xfId="0" applyNumberFormat="1" applyFont="1" applyBorder="1" applyAlignment="1">
      <alignment horizontal="left" vertical="center" wrapText="1"/>
    </xf>
    <xf numFmtId="165" fontId="21" fillId="0" borderId="0" xfId="0" applyNumberFormat="1" applyFont="1" applyFill="1" applyBorder="1" applyAlignment="1">
      <alignment horizontal="center" vertical="center"/>
    </xf>
    <xf numFmtId="164" fontId="0" fillId="0" borderId="0" xfId="1" applyNumberFormat="1" applyFont="1"/>
    <xf numFmtId="0" fontId="0" fillId="0" borderId="0" xfId="0" applyAlignment="1">
      <alignment horizontal="left" wrapText="1"/>
    </xf>
    <xf numFmtId="1" fontId="0" fillId="0" borderId="0" xfId="1" applyNumberFormat="1" applyFont="1"/>
    <xf numFmtId="1" fontId="0" fillId="0" borderId="0" xfId="0" applyNumberFormat="1"/>
    <xf numFmtId="0" fontId="2" fillId="0" borderId="1" xfId="0" applyFont="1" applyBorder="1"/>
    <xf numFmtId="0" fontId="0" fillId="0" borderId="1" xfId="0" applyBorder="1" applyAlignment="1">
      <alignment horizontal="left" wrapText="1"/>
    </xf>
    <xf numFmtId="0" fontId="2" fillId="0" borderId="1" xfId="0" applyFont="1" applyBorder="1" applyAlignment="1">
      <alignment horizontal="left" wrapText="1"/>
    </xf>
    <xf numFmtId="164" fontId="0" fillId="0" borderId="1" xfId="1" applyNumberFormat="1" applyFont="1" applyBorder="1"/>
    <xf numFmtId="164" fontId="2" fillId="0" borderId="1" xfId="1" applyNumberFormat="1" applyFont="1" applyBorder="1"/>
    <xf numFmtId="0" fontId="2" fillId="0" borderId="1" xfId="0" applyFont="1" applyBorder="1" applyAlignment="1">
      <alignment wrapText="1"/>
    </xf>
    <xf numFmtId="0" fontId="3" fillId="0" borderId="1" xfId="0" applyFont="1" applyBorder="1" applyAlignment="1">
      <alignment wrapText="1"/>
    </xf>
    <xf numFmtId="164" fontId="3" fillId="0" borderId="1" xfId="1" applyNumberFormat="1" applyFont="1" applyBorder="1"/>
    <xf numFmtId="0" fontId="0" fillId="0" borderId="1" xfId="0" applyBorder="1" applyAlignment="1">
      <alignment horizontal="left" wrapText="1" indent="1"/>
    </xf>
    <xf numFmtId="0" fontId="3" fillId="0" borderId="1" xfId="0" applyFont="1" applyBorder="1" applyAlignment="1">
      <alignment horizontal="left" wrapText="1"/>
    </xf>
    <xf numFmtId="164" fontId="14" fillId="0" borderId="0" xfId="1" applyNumberFormat="1" applyFont="1" applyBorder="1" applyProtection="1"/>
    <xf numFmtId="164" fontId="13" fillId="4" borderId="7" xfId="1" applyNumberFormat="1" applyFont="1" applyFill="1" applyBorder="1" applyAlignment="1" applyProtection="1">
      <alignment horizontal="center" wrapText="1"/>
    </xf>
    <xf numFmtId="164" fontId="13" fillId="4" borderId="7" xfId="1" applyNumberFormat="1" applyFont="1" applyFill="1" applyBorder="1" applyAlignment="1" applyProtection="1">
      <alignment horizontal="center"/>
    </xf>
    <xf numFmtId="3" fontId="14" fillId="0" borderId="1" xfId="0" applyNumberFormat="1" applyFont="1" applyBorder="1" applyAlignment="1" applyProtection="1">
      <alignment vertical="center"/>
    </xf>
    <xf numFmtId="3" fontId="18" fillId="0" borderId="1" xfId="0" applyNumberFormat="1" applyFont="1" applyFill="1" applyBorder="1" applyAlignment="1" applyProtection="1">
      <alignment horizontal="right" vertical="center" wrapText="1"/>
    </xf>
    <xf numFmtId="3" fontId="19" fillId="0" borderId="0" xfId="0" applyNumberFormat="1" applyFont="1" applyAlignment="1" applyProtection="1">
      <alignment vertical="center"/>
    </xf>
    <xf numFmtId="0" fontId="12" fillId="0" borderId="0" xfId="0" applyFont="1" applyAlignment="1" applyProtection="1">
      <alignment vertical="center"/>
    </xf>
    <xf numFmtId="0" fontId="12" fillId="0" borderId="0" xfId="0" applyFont="1" applyFill="1" applyAlignment="1" applyProtection="1">
      <alignment vertical="center"/>
    </xf>
    <xf numFmtId="10" fontId="18" fillId="0" borderId="1" xfId="2" applyNumberFormat="1" applyFont="1" applyFill="1" applyBorder="1" applyAlignment="1" applyProtection="1">
      <alignment horizontal="right" vertical="center" wrapText="1"/>
    </xf>
    <xf numFmtId="164" fontId="0" fillId="0" borderId="8" xfId="1" applyNumberFormat="1" applyFont="1" applyBorder="1"/>
    <xf numFmtId="164" fontId="0" fillId="0" borderId="1" xfId="0" applyNumberFormat="1" applyBorder="1"/>
    <xf numFmtId="164" fontId="2" fillId="0" borderId="1" xfId="0" applyNumberFormat="1" applyFont="1" applyBorder="1"/>
    <xf numFmtId="0" fontId="25" fillId="3" borderId="9" xfId="0" applyFont="1" applyFill="1" applyBorder="1" applyAlignment="1">
      <alignment horizontal="center" vertical="center"/>
    </xf>
    <xf numFmtId="0" fontId="25" fillId="3" borderId="10" xfId="0" applyFont="1" applyFill="1" applyBorder="1" applyAlignment="1">
      <alignment horizontal="center" vertical="center"/>
    </xf>
    <xf numFmtId="0" fontId="26" fillId="3" borderId="10" xfId="0" applyFont="1" applyFill="1" applyBorder="1" applyAlignment="1">
      <alignment horizontal="center" vertical="center"/>
    </xf>
    <xf numFmtId="0" fontId="24" fillId="0" borderId="11" xfId="0" applyFont="1" applyBorder="1" applyAlignment="1">
      <alignment vertical="center" wrapText="1"/>
    </xf>
    <xf numFmtId="0" fontId="27" fillId="0" borderId="12" xfId="0" applyFont="1" applyBorder="1" applyAlignment="1">
      <alignment vertical="center"/>
    </xf>
    <xf numFmtId="0" fontId="27" fillId="0" borderId="13" xfId="0" applyFont="1" applyBorder="1" applyAlignment="1">
      <alignment horizontal="center" vertical="center" wrapText="1"/>
    </xf>
    <xf numFmtId="3" fontId="27" fillId="0" borderId="13" xfId="0" applyNumberFormat="1" applyFont="1" applyBorder="1" applyAlignment="1">
      <alignment horizontal="center" vertical="center" wrapText="1"/>
    </xf>
    <xf numFmtId="3" fontId="27" fillId="0" borderId="13" xfId="0" applyNumberFormat="1" applyFont="1" applyBorder="1" applyAlignment="1">
      <alignment vertical="center" wrapText="1"/>
    </xf>
    <xf numFmtId="0" fontId="27" fillId="0" borderId="13" xfId="0" applyFont="1" applyBorder="1" applyAlignment="1">
      <alignment vertical="center" wrapText="1"/>
    </xf>
    <xf numFmtId="0" fontId="25" fillId="0" borderId="12" xfId="0" applyFont="1" applyBorder="1" applyAlignment="1">
      <alignment vertical="center"/>
    </xf>
    <xf numFmtId="0" fontId="25" fillId="0" borderId="13" xfId="0" applyFont="1" applyBorder="1" applyAlignment="1">
      <alignment horizontal="center" vertical="center" wrapText="1"/>
    </xf>
    <xf numFmtId="0" fontId="27" fillId="0" borderId="13" xfId="0" applyFont="1" applyBorder="1" applyAlignment="1">
      <alignment horizontal="center" vertical="center"/>
    </xf>
    <xf numFmtId="3" fontId="27" fillId="0" borderId="13" xfId="0" applyNumberFormat="1" applyFont="1" applyBorder="1" applyAlignment="1">
      <alignment horizontal="center" vertical="center"/>
    </xf>
    <xf numFmtId="0" fontId="25" fillId="0" borderId="13" xfId="0" applyFont="1" applyBorder="1" applyAlignment="1">
      <alignment horizontal="center" vertical="center"/>
    </xf>
    <xf numFmtId="3" fontId="25" fillId="0" borderId="13" xfId="0" applyNumberFormat="1" applyFont="1" applyBorder="1" applyAlignment="1">
      <alignment horizontal="center" vertical="center" wrapText="1"/>
    </xf>
    <xf numFmtId="3" fontId="27" fillId="0" borderId="14" xfId="0" applyNumberFormat="1" applyFont="1" applyBorder="1" applyAlignment="1">
      <alignment vertical="center" wrapText="1"/>
    </xf>
    <xf numFmtId="3" fontId="27" fillId="0" borderId="10" xfId="0" applyNumberFormat="1" applyFont="1" applyBorder="1" applyAlignment="1">
      <alignment vertical="center" wrapText="1"/>
    </xf>
    <xf numFmtId="0" fontId="27" fillId="0" borderId="14" xfId="0" applyFont="1" applyBorder="1" applyAlignment="1">
      <alignment vertical="center" wrapText="1"/>
    </xf>
    <xf numFmtId="0" fontId="27" fillId="0" borderId="10" xfId="0" applyFont="1" applyBorder="1" applyAlignment="1">
      <alignment vertical="center" wrapText="1"/>
    </xf>
    <xf numFmtId="0" fontId="25" fillId="0" borderId="10" xfId="0" applyFont="1" applyBorder="1" applyAlignment="1">
      <alignment vertical="center" wrapText="1"/>
    </xf>
    <xf numFmtId="3" fontId="27" fillId="0" borderId="14" xfId="0" applyNumberFormat="1" applyFont="1" applyBorder="1" applyAlignment="1">
      <alignment vertical="center"/>
    </xf>
    <xf numFmtId="3" fontId="27" fillId="0" borderId="10" xfId="0" applyNumberFormat="1" applyFont="1" applyBorder="1" applyAlignment="1">
      <alignment vertical="center"/>
    </xf>
    <xf numFmtId="0" fontId="27" fillId="0" borderId="14" xfId="0" applyFont="1" applyBorder="1" applyAlignment="1">
      <alignment vertical="center"/>
    </xf>
    <xf numFmtId="0" fontId="27" fillId="0" borderId="10" xfId="0" applyFont="1" applyBorder="1" applyAlignment="1">
      <alignment vertical="center"/>
    </xf>
    <xf numFmtId="0" fontId="25" fillId="0" borderId="10" xfId="0" applyFont="1" applyBorder="1" applyAlignment="1">
      <alignment vertical="center"/>
    </xf>
    <xf numFmtId="3" fontId="25" fillId="0" borderId="13" xfId="0" applyNumberFormat="1" applyFont="1" applyBorder="1" applyAlignment="1">
      <alignment horizontal="center" vertical="center"/>
    </xf>
    <xf numFmtId="164" fontId="0" fillId="2" borderId="1" xfId="1" applyNumberFormat="1" applyFont="1" applyFill="1" applyBorder="1"/>
    <xf numFmtId="164" fontId="0" fillId="0" borderId="0" xfId="0" applyNumberFormat="1"/>
    <xf numFmtId="0" fontId="6" fillId="12"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0" fillId="0" borderId="0" xfId="0" applyAlignment="1">
      <alignment horizontal="center" wrapText="1"/>
    </xf>
    <xf numFmtId="3" fontId="10" fillId="11" borderId="0" xfId="0" applyNumberFormat="1" applyFont="1" applyFill="1" applyAlignment="1">
      <alignment horizontal="center" vertical="center" wrapText="1"/>
    </xf>
    <xf numFmtId="0" fontId="4" fillId="12" borderId="1" xfId="0" applyFont="1" applyFill="1" applyBorder="1" applyAlignment="1">
      <alignment horizontal="left"/>
    </xf>
    <xf numFmtId="0" fontId="4" fillId="12" borderId="2" xfId="0" applyFont="1" applyFill="1" applyBorder="1" applyAlignment="1">
      <alignment horizontal="center"/>
    </xf>
    <xf numFmtId="0" fontId="4" fillId="12" borderId="3" xfId="0" applyFont="1" applyFill="1" applyBorder="1" applyAlignment="1">
      <alignment horizontal="center"/>
    </xf>
    <xf numFmtId="0" fontId="4" fillId="12" borderId="4" xfId="0" applyFont="1" applyFill="1" applyBorder="1" applyAlignment="1">
      <alignment horizontal="center"/>
    </xf>
    <xf numFmtId="0" fontId="2" fillId="0" borderId="1" xfId="0" applyFont="1" applyBorder="1" applyAlignment="1">
      <alignment horizontal="left" vertical="top"/>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xf>
    <xf numFmtId="0" fontId="8" fillId="0" borderId="1" xfId="0" applyFont="1" applyBorder="1" applyAlignment="1">
      <alignment horizontal="left"/>
    </xf>
    <xf numFmtId="0" fontId="4" fillId="12" borderId="2" xfId="0" applyFont="1" applyFill="1" applyBorder="1" applyAlignment="1">
      <alignment horizontal="center" vertical="center"/>
    </xf>
    <xf numFmtId="0" fontId="4" fillId="12" borderId="3" xfId="0" applyFont="1" applyFill="1" applyBorder="1" applyAlignment="1">
      <alignment horizontal="center" vertical="center"/>
    </xf>
    <xf numFmtId="0" fontId="4" fillId="12" borderId="4" xfId="0" applyFont="1" applyFill="1" applyBorder="1" applyAlignment="1">
      <alignment horizontal="center" vertical="center"/>
    </xf>
    <xf numFmtId="0" fontId="2" fillId="12" borderId="1" xfId="0" applyFont="1" applyFill="1" applyBorder="1" applyAlignment="1">
      <alignment horizontal="center"/>
    </xf>
    <xf numFmtId="0" fontId="2" fillId="0" borderId="1" xfId="0" applyFont="1" applyFill="1" applyBorder="1" applyAlignment="1">
      <alignment horizontal="left"/>
    </xf>
    <xf numFmtId="0" fontId="22" fillId="10" borderId="1"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2" fillId="6"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8" fillId="13" borderId="1" xfId="0" applyFont="1" applyFill="1" applyBorder="1" applyAlignment="1">
      <alignment horizontal="left" vertical="center"/>
    </xf>
    <xf numFmtId="0" fontId="28" fillId="13" borderId="1" xfId="0" applyFont="1" applyFill="1" applyBorder="1" applyAlignment="1">
      <alignment horizontal="center" vertical="center"/>
    </xf>
    <xf numFmtId="0" fontId="28" fillId="13" borderId="1" xfId="0" applyFont="1" applyFill="1" applyBorder="1" applyAlignment="1">
      <alignment horizontal="center" vertical="center" wrapText="1"/>
    </xf>
    <xf numFmtId="0" fontId="2" fillId="14" borderId="1" xfId="0" applyFont="1" applyFill="1" applyBorder="1" applyAlignment="1">
      <alignment vertical="center" wrapText="1"/>
    </xf>
    <xf numFmtId="167" fontId="0" fillId="14" borderId="1" xfId="1" applyNumberFormat="1" applyFont="1" applyFill="1" applyBorder="1" applyAlignment="1">
      <alignment vertical="center"/>
    </xf>
    <xf numFmtId="167" fontId="2" fillId="14" borderId="1" xfId="1" applyNumberFormat="1" applyFont="1" applyFill="1" applyBorder="1" applyAlignment="1">
      <alignment vertical="center"/>
    </xf>
    <xf numFmtId="0" fontId="0" fillId="0" borderId="1" xfId="0" applyBorder="1" applyAlignment="1">
      <alignment vertical="center" wrapText="1"/>
    </xf>
    <xf numFmtId="167" fontId="0" fillId="15" borderId="1" xfId="1" applyNumberFormat="1" applyFont="1" applyFill="1" applyBorder="1" applyAlignment="1">
      <alignment vertical="center"/>
    </xf>
    <xf numFmtId="167" fontId="0" fillId="0" borderId="1" xfId="1" applyNumberFormat="1" applyFont="1" applyBorder="1" applyAlignment="1">
      <alignment vertical="center"/>
    </xf>
    <xf numFmtId="167" fontId="2" fillId="0" borderId="1" xfId="1" applyNumberFormat="1" applyFont="1" applyBorder="1" applyAlignment="1">
      <alignment vertical="center"/>
    </xf>
    <xf numFmtId="0" fontId="2" fillId="14" borderId="1" xfId="0" applyFont="1" applyFill="1" applyBorder="1" applyAlignment="1">
      <alignment vertical="center"/>
    </xf>
    <xf numFmtId="167" fontId="1" fillId="14" borderId="1" xfId="1" applyNumberFormat="1" applyFont="1" applyFill="1" applyBorder="1" applyAlignment="1">
      <alignment vertical="center"/>
    </xf>
    <xf numFmtId="0" fontId="0" fillId="14" borderId="1" xfId="0" applyFont="1" applyFill="1" applyBorder="1" applyAlignment="1">
      <alignment vertical="center"/>
    </xf>
    <xf numFmtId="0" fontId="0" fillId="14" borderId="1" xfId="0" applyFill="1" applyBorder="1" applyAlignment="1">
      <alignment vertical="center" wrapText="1"/>
    </xf>
    <xf numFmtId="167" fontId="0" fillId="0" borderId="1" xfId="1" applyNumberFormat="1" applyFont="1" applyFill="1" applyBorder="1" applyAlignment="1">
      <alignment vertical="center"/>
    </xf>
    <xf numFmtId="0" fontId="0" fillId="14" borderId="1" xfId="0" applyFill="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0" fillId="2" borderId="1" xfId="0" applyFill="1" applyBorder="1" applyAlignment="1">
      <alignment vertical="center" wrapText="1"/>
    </xf>
    <xf numFmtId="0" fontId="0" fillId="0" borderId="1" xfId="0" applyFill="1" applyBorder="1" applyAlignment="1">
      <alignment vertical="center" wrapText="1"/>
    </xf>
    <xf numFmtId="0" fontId="7" fillId="0" borderId="1" xfId="0" applyFont="1" applyFill="1" applyBorder="1" applyAlignment="1">
      <alignment vertical="center"/>
    </xf>
    <xf numFmtId="167" fontId="7" fillId="15" borderId="1" xfId="1" applyNumberFormat="1" applyFont="1" applyFill="1" applyBorder="1" applyAlignment="1">
      <alignment vertical="center"/>
    </xf>
    <xf numFmtId="167" fontId="7" fillId="0" borderId="1" xfId="1" applyNumberFormat="1" applyFont="1" applyFill="1" applyBorder="1" applyAlignment="1">
      <alignment vertical="center"/>
    </xf>
    <xf numFmtId="167" fontId="8" fillId="0" borderId="1" xfId="1" applyNumberFormat="1" applyFont="1" applyFill="1" applyBorder="1" applyAlignment="1">
      <alignment vertical="center"/>
    </xf>
    <xf numFmtId="0" fontId="0" fillId="14" borderId="0" xfId="0" applyFill="1" applyBorder="1" applyAlignment="1">
      <alignment vertical="center"/>
    </xf>
    <xf numFmtId="167" fontId="0" fillId="14" borderId="0" xfId="1" applyNumberFormat="1" applyFont="1" applyFill="1" applyBorder="1" applyAlignment="1">
      <alignment vertical="center"/>
    </xf>
    <xf numFmtId="167" fontId="2" fillId="14" borderId="0" xfId="1" applyNumberFormat="1" applyFont="1" applyFill="1" applyBorder="1" applyAlignment="1">
      <alignment vertical="center"/>
    </xf>
    <xf numFmtId="10" fontId="0" fillId="14" borderId="0" xfId="2" applyNumberFormat="1" applyFont="1" applyFill="1" applyBorder="1" applyAlignment="1">
      <alignment vertical="center"/>
    </xf>
    <xf numFmtId="0" fontId="0" fillId="0" borderId="0" xfId="0" applyAlignment="1">
      <alignment vertical="center"/>
    </xf>
    <xf numFmtId="0" fontId="29" fillId="16" borderId="1"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30" fillId="0" borderId="1" xfId="0" applyFont="1" applyFill="1" applyBorder="1" applyAlignment="1">
      <alignment vertical="center" wrapText="1"/>
    </xf>
    <xf numFmtId="10" fontId="30" fillId="0" borderId="1" xfId="0" applyNumberFormat="1" applyFont="1" applyFill="1" applyBorder="1" applyAlignment="1">
      <alignment horizontal="center" vertical="center" wrapText="1"/>
    </xf>
    <xf numFmtId="167" fontId="0" fillId="0" borderId="1" xfId="0" applyNumberFormat="1" applyFill="1" applyBorder="1" applyAlignment="1">
      <alignment vertical="center"/>
    </xf>
    <xf numFmtId="0" fontId="31" fillId="0" borderId="1" xfId="0" applyFont="1" applyBorder="1" applyAlignment="1">
      <alignment horizontal="center" vertical="center"/>
    </xf>
    <xf numFmtId="167" fontId="0" fillId="0" borderId="0" xfId="0" applyNumberFormat="1" applyAlignment="1">
      <alignment vertical="center"/>
    </xf>
    <xf numFmtId="0" fontId="11" fillId="0" borderId="1" xfId="0" applyFont="1" applyFill="1" applyBorder="1" applyAlignment="1">
      <alignment vertical="center" wrapText="1"/>
    </xf>
    <xf numFmtId="10" fontId="11" fillId="0" borderId="1" xfId="0" applyNumberFormat="1" applyFont="1" applyFill="1" applyBorder="1" applyAlignment="1">
      <alignment horizontal="center" vertical="center" wrapText="1"/>
    </xf>
    <xf numFmtId="9" fontId="0" fillId="0" borderId="0" xfId="0" applyNumberFormat="1" applyAlignment="1">
      <alignment vertical="center"/>
    </xf>
    <xf numFmtId="0" fontId="2" fillId="0" borderId="0" xfId="0" applyFont="1" applyAlignment="1">
      <alignment vertical="center"/>
    </xf>
  </cellXfs>
  <cellStyles count="3">
    <cellStyle name="Ezres" xfId="1" builtinId="3"/>
    <cellStyle name="Normál" xfId="0" builtinId="0"/>
    <cellStyle name="Százalék" xfId="2" builtinId="5"/>
  </cellStyles>
  <dxfs count="5">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225;solat%20eredetijek&#246;lts&#233;gvet&#233;si%20&#246;sszes&#237;t&#337;v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tgvetés"/>
      <sheetName val="kivitelezés nettó"/>
      <sheetName val="Munka1"/>
      <sheetName val="Munka2"/>
    </sheetNames>
    <sheetDataSet>
      <sheetData sheetId="0">
        <row r="5">
          <cell r="K5">
            <v>3556000</v>
          </cell>
        </row>
        <row r="6">
          <cell r="K6">
            <v>38417500</v>
          </cell>
        </row>
        <row r="7">
          <cell r="L7">
            <v>7620000</v>
          </cell>
        </row>
        <row r="9">
          <cell r="L9">
            <v>701866075</v>
          </cell>
          <cell r="M9">
            <v>59170241</v>
          </cell>
        </row>
        <row r="16">
          <cell r="L16">
            <v>195800965</v>
          </cell>
        </row>
        <row r="17">
          <cell r="L17">
            <v>32105364</v>
          </cell>
        </row>
        <row r="18">
          <cell r="L18">
            <v>23269355</v>
          </cell>
        </row>
        <row r="21">
          <cell r="F21">
            <v>29585121</v>
          </cell>
          <cell r="L21">
            <v>92317079</v>
          </cell>
          <cell r="M21">
            <v>516230</v>
          </cell>
        </row>
        <row r="30">
          <cell r="F30">
            <v>258115</v>
          </cell>
        </row>
        <row r="34">
          <cell r="L34">
            <v>3810000</v>
          </cell>
          <cell r="M34">
            <v>3810000</v>
          </cell>
        </row>
        <row r="35">
          <cell r="M35">
            <v>762000</v>
          </cell>
        </row>
        <row r="36">
          <cell r="M36">
            <v>635000</v>
          </cell>
        </row>
        <row r="37">
          <cell r="L37">
            <v>48049999</v>
          </cell>
          <cell r="M37">
            <v>11950000</v>
          </cell>
        </row>
        <row r="38">
          <cell r="K38">
            <v>338500</v>
          </cell>
          <cell r="L38">
            <v>438100</v>
          </cell>
          <cell r="M38">
            <v>547860</v>
          </cell>
        </row>
        <row r="41">
          <cell r="E41">
            <v>6576251</v>
          </cell>
          <cell r="L41">
            <v>12700000</v>
          </cell>
          <cell r="M41">
            <v>12700000</v>
          </cell>
        </row>
        <row r="43">
          <cell r="E43">
            <v>1015940835</v>
          </cell>
        </row>
        <row r="45">
          <cell r="M45">
            <v>29843236</v>
          </cell>
        </row>
      </sheetData>
      <sheetData sheetId="1"/>
      <sheetData sheetId="2"/>
      <sheetData sheetId="3"/>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topLeftCell="E1" zoomScale="130" zoomScaleNormal="130" workbookViewId="0">
      <selection activeCell="H6" sqref="H6:O6"/>
    </sheetView>
  </sheetViews>
  <sheetFormatPr defaultRowHeight="15" x14ac:dyDescent="0.25"/>
  <cols>
    <col min="1" max="1" width="40" customWidth="1"/>
    <col min="2" max="2" width="21.5703125" customWidth="1"/>
    <col min="3" max="3" width="12.28515625" customWidth="1"/>
    <col min="4" max="4" width="12.140625" customWidth="1"/>
    <col min="5" max="5" width="22.140625" customWidth="1"/>
    <col min="8" max="8" width="17.42578125" customWidth="1"/>
    <col min="9" max="15" width="19" bestFit="1" customWidth="1"/>
  </cols>
  <sheetData>
    <row r="1" spans="1:15" x14ac:dyDescent="0.25">
      <c r="A1" t="s">
        <v>25</v>
      </c>
    </row>
    <row r="4" spans="1:15" x14ac:dyDescent="0.25">
      <c r="E4" s="11"/>
      <c r="F4" s="75">
        <v>1</v>
      </c>
      <c r="G4" s="75">
        <v>2</v>
      </c>
      <c r="H4" s="75">
        <v>3</v>
      </c>
      <c r="I4" s="75">
        <v>4</v>
      </c>
      <c r="J4" s="75">
        <v>5</v>
      </c>
      <c r="K4" s="75">
        <v>6</v>
      </c>
      <c r="L4" s="75">
        <v>7</v>
      </c>
      <c r="M4" s="75">
        <v>8</v>
      </c>
      <c r="N4" s="75">
        <v>9</v>
      </c>
      <c r="O4" s="75">
        <v>10</v>
      </c>
    </row>
    <row r="5" spans="1:15" x14ac:dyDescent="0.25">
      <c r="A5" s="1" t="s">
        <v>1</v>
      </c>
      <c r="E5" s="75" t="s">
        <v>219</v>
      </c>
      <c r="F5" s="75">
        <v>2016</v>
      </c>
      <c r="G5" s="75">
        <v>2017</v>
      </c>
      <c r="H5" s="75">
        <v>2018</v>
      </c>
      <c r="I5" s="75">
        <v>2019</v>
      </c>
      <c r="J5" s="75">
        <v>2020</v>
      </c>
      <c r="K5" s="75">
        <v>2021</v>
      </c>
      <c r="L5" s="75">
        <v>2022</v>
      </c>
      <c r="M5" s="75">
        <v>2023</v>
      </c>
      <c r="N5" s="75">
        <v>2024</v>
      </c>
      <c r="O5" s="75">
        <v>2025</v>
      </c>
    </row>
    <row r="6" spans="1:15" ht="30" x14ac:dyDescent="0.25">
      <c r="A6" t="s">
        <v>123</v>
      </c>
      <c r="B6">
        <v>17</v>
      </c>
      <c r="E6" s="13" t="s">
        <v>218</v>
      </c>
      <c r="F6" s="78"/>
      <c r="G6" s="78"/>
      <c r="H6" s="78">
        <f>B6*B7*B8</f>
        <v>26265000</v>
      </c>
      <c r="I6" s="78">
        <f>H6</f>
        <v>26265000</v>
      </c>
      <c r="J6" s="78">
        <f t="shared" ref="J6:O6" si="0">I6</f>
        <v>26265000</v>
      </c>
      <c r="K6" s="78">
        <f t="shared" si="0"/>
        <v>26265000</v>
      </c>
      <c r="L6" s="78">
        <f t="shared" si="0"/>
        <v>26265000</v>
      </c>
      <c r="M6" s="78">
        <f t="shared" si="0"/>
        <v>26265000</v>
      </c>
      <c r="N6" s="78">
        <f t="shared" si="0"/>
        <v>26265000</v>
      </c>
      <c r="O6" s="78">
        <f t="shared" si="0"/>
        <v>26265000</v>
      </c>
    </row>
    <row r="7" spans="1:15" x14ac:dyDescent="0.25">
      <c r="A7" t="s">
        <v>119</v>
      </c>
      <c r="B7">
        <v>1500</v>
      </c>
      <c r="E7" s="13" t="s">
        <v>220</v>
      </c>
      <c r="F7" s="78"/>
      <c r="G7" s="78"/>
      <c r="H7" s="78">
        <f>17316000+140000*9.5</f>
        <v>18646000</v>
      </c>
      <c r="I7" s="78">
        <f>17316000+5040000</f>
        <v>22356000</v>
      </c>
      <c r="J7" s="78">
        <f t="shared" ref="J7:O7" si="1">17316000+5040000</f>
        <v>22356000</v>
      </c>
      <c r="K7" s="78">
        <f t="shared" si="1"/>
        <v>22356000</v>
      </c>
      <c r="L7" s="78">
        <f t="shared" si="1"/>
        <v>22356000</v>
      </c>
      <c r="M7" s="78">
        <f t="shared" si="1"/>
        <v>22356000</v>
      </c>
      <c r="N7" s="78">
        <f t="shared" si="1"/>
        <v>22356000</v>
      </c>
      <c r="O7" s="78">
        <f t="shared" si="1"/>
        <v>22356000</v>
      </c>
    </row>
    <row r="8" spans="1:15" x14ac:dyDescent="0.25">
      <c r="A8" t="s">
        <v>120</v>
      </c>
      <c r="B8">
        <v>1030</v>
      </c>
      <c r="E8" s="13" t="s">
        <v>221</v>
      </c>
      <c r="F8" s="78"/>
      <c r="G8" s="78"/>
      <c r="H8" s="78">
        <f>66*830*291*0.4</f>
        <v>6376392</v>
      </c>
      <c r="I8" s="78">
        <f>66*830*365*0.4</f>
        <v>7997880</v>
      </c>
      <c r="J8" s="78">
        <f t="shared" ref="J8:O8" si="2">66*830*365*0.4</f>
        <v>7997880</v>
      </c>
      <c r="K8" s="78">
        <f t="shared" si="2"/>
        <v>7997880</v>
      </c>
      <c r="L8" s="78">
        <f t="shared" si="2"/>
        <v>7997880</v>
      </c>
      <c r="M8" s="78">
        <f t="shared" si="2"/>
        <v>7997880</v>
      </c>
      <c r="N8" s="78">
        <f t="shared" si="2"/>
        <v>7997880</v>
      </c>
      <c r="O8" s="78">
        <f t="shared" si="2"/>
        <v>7997880</v>
      </c>
    </row>
    <row r="9" spans="1:15" x14ac:dyDescent="0.25">
      <c r="A9" t="s">
        <v>121</v>
      </c>
      <c r="B9">
        <f>B7*B8*B6</f>
        <v>26265000</v>
      </c>
      <c r="E9" s="80" t="s">
        <v>222</v>
      </c>
      <c r="F9" s="79"/>
      <c r="G9" s="79"/>
      <c r="H9" s="79">
        <f t="shared" ref="H9:O9" si="3">SUM(H6:H8)</f>
        <v>51287392</v>
      </c>
      <c r="I9" s="79">
        <f t="shared" si="3"/>
        <v>56618880</v>
      </c>
      <c r="J9" s="79">
        <f t="shared" si="3"/>
        <v>56618880</v>
      </c>
      <c r="K9" s="79">
        <f t="shared" si="3"/>
        <v>56618880</v>
      </c>
      <c r="L9" s="79">
        <f t="shared" si="3"/>
        <v>56618880</v>
      </c>
      <c r="M9" s="79">
        <f t="shared" si="3"/>
        <v>56618880</v>
      </c>
      <c r="N9" s="79">
        <f t="shared" si="3"/>
        <v>56618880</v>
      </c>
      <c r="O9" s="79">
        <f t="shared" si="3"/>
        <v>56618880</v>
      </c>
    </row>
    <row r="10" spans="1:15" x14ac:dyDescent="0.25">
      <c r="A10" t="s">
        <v>16</v>
      </c>
      <c r="E10" s="7"/>
      <c r="F10" s="71"/>
      <c r="G10" s="71"/>
      <c r="H10" s="71"/>
      <c r="I10" s="71"/>
      <c r="J10" s="71"/>
      <c r="K10" s="71"/>
      <c r="L10" s="71"/>
      <c r="M10" s="71"/>
      <c r="N10" s="71"/>
      <c r="O10" s="71"/>
    </row>
    <row r="11" spans="1:15" x14ac:dyDescent="0.25">
      <c r="A11" s="2" t="s">
        <v>17</v>
      </c>
      <c r="B11">
        <v>36000</v>
      </c>
      <c r="E11" s="7"/>
      <c r="F11" s="71"/>
      <c r="G11" s="71"/>
      <c r="H11" s="71"/>
      <c r="I11" s="71"/>
      <c r="J11" s="71"/>
      <c r="K11" s="71"/>
      <c r="L11" s="71"/>
      <c r="M11" s="71"/>
      <c r="N11" s="71"/>
      <c r="O11" s="71"/>
    </row>
    <row r="12" spans="1:15" x14ac:dyDescent="0.25">
      <c r="A12" s="2" t="s">
        <v>18</v>
      </c>
      <c r="B12">
        <v>210000</v>
      </c>
      <c r="E12" s="13"/>
      <c r="F12" s="75">
        <v>1</v>
      </c>
      <c r="G12" s="75">
        <v>2</v>
      </c>
      <c r="H12" s="75">
        <v>3</v>
      </c>
      <c r="I12" s="75">
        <v>4</v>
      </c>
      <c r="J12" s="75">
        <v>5</v>
      </c>
      <c r="K12" s="75">
        <v>6</v>
      </c>
      <c r="L12" s="75">
        <v>7</v>
      </c>
      <c r="M12" s="75">
        <v>8</v>
      </c>
      <c r="N12" s="75">
        <v>9</v>
      </c>
      <c r="O12" s="75">
        <v>10</v>
      </c>
    </row>
    <row r="13" spans="1:15" x14ac:dyDescent="0.25">
      <c r="A13" s="2" t="s">
        <v>19</v>
      </c>
      <c r="B13">
        <v>36000</v>
      </c>
      <c r="E13" s="80" t="s">
        <v>223</v>
      </c>
      <c r="F13" s="75">
        <v>2016</v>
      </c>
      <c r="G13" s="75">
        <v>2017</v>
      </c>
      <c r="H13" s="75">
        <v>2018</v>
      </c>
      <c r="I13" s="75">
        <v>2019</v>
      </c>
      <c r="J13" s="75">
        <v>2020</v>
      </c>
      <c r="K13" s="75">
        <v>2021</v>
      </c>
      <c r="L13" s="75">
        <v>2022</v>
      </c>
      <c r="M13" s="75">
        <v>2023</v>
      </c>
      <c r="N13" s="75">
        <v>2024</v>
      </c>
      <c r="O13" s="75">
        <v>2025</v>
      </c>
    </row>
    <row r="14" spans="1:15" x14ac:dyDescent="0.25">
      <c r="A14" s="2" t="s">
        <v>22</v>
      </c>
      <c r="E14" s="81" t="s">
        <v>224</v>
      </c>
      <c r="F14" s="82"/>
      <c r="G14" s="82"/>
      <c r="H14" s="82">
        <f>I14*9.5/12</f>
        <v>6696075</v>
      </c>
      <c r="I14" s="82">
        <f>C70</f>
        <v>8458200</v>
      </c>
      <c r="J14" s="82">
        <f>I14</f>
        <v>8458200</v>
      </c>
      <c r="K14" s="82">
        <f t="shared" ref="K14:O14" si="4">J14</f>
        <v>8458200</v>
      </c>
      <c r="L14" s="82">
        <f t="shared" si="4"/>
        <v>8458200</v>
      </c>
      <c r="M14" s="82">
        <f t="shared" si="4"/>
        <v>8458200</v>
      </c>
      <c r="N14" s="82">
        <f t="shared" si="4"/>
        <v>8458200</v>
      </c>
      <c r="O14" s="82">
        <f t="shared" si="4"/>
        <v>8458200</v>
      </c>
    </row>
    <row r="15" spans="1:15" x14ac:dyDescent="0.25">
      <c r="A15" s="3" t="s">
        <v>9</v>
      </c>
      <c r="B15">
        <v>360000</v>
      </c>
      <c r="E15" s="81" t="s">
        <v>21</v>
      </c>
      <c r="F15" s="82"/>
      <c r="G15" s="82"/>
      <c r="H15" s="82">
        <f>SUM(H16:H22)</f>
        <v>5934500.0000000009</v>
      </c>
      <c r="I15" s="82">
        <f t="shared" ref="I15:O15" si="5">SUM(I16:I22)</f>
        <v>7422000</v>
      </c>
      <c r="J15" s="82">
        <f t="shared" si="5"/>
        <v>7422000</v>
      </c>
      <c r="K15" s="82">
        <f t="shared" si="5"/>
        <v>7422000</v>
      </c>
      <c r="L15" s="82">
        <f t="shared" si="5"/>
        <v>7422000</v>
      </c>
      <c r="M15" s="82">
        <f t="shared" si="5"/>
        <v>7422000</v>
      </c>
      <c r="N15" s="82">
        <f t="shared" si="5"/>
        <v>7422000</v>
      </c>
      <c r="O15" s="82">
        <f t="shared" si="5"/>
        <v>7422000</v>
      </c>
    </row>
    <row r="16" spans="1:15" x14ac:dyDescent="0.25">
      <c r="A16" s="3" t="s">
        <v>10</v>
      </c>
      <c r="B16">
        <v>1000000</v>
      </c>
      <c r="E16" s="83" t="s">
        <v>225</v>
      </c>
      <c r="F16" s="78"/>
      <c r="G16" s="78"/>
      <c r="H16" s="78">
        <f>B11+B12+B13</f>
        <v>282000</v>
      </c>
      <c r="I16" s="78">
        <f>B11+B12+B13</f>
        <v>282000</v>
      </c>
      <c r="J16" s="78">
        <f>I16</f>
        <v>282000</v>
      </c>
      <c r="K16" s="78">
        <f t="shared" ref="K16:O16" si="6">J16</f>
        <v>282000</v>
      </c>
      <c r="L16" s="78">
        <f t="shared" si="6"/>
        <v>282000</v>
      </c>
      <c r="M16" s="78">
        <f t="shared" si="6"/>
        <v>282000</v>
      </c>
      <c r="N16" s="78">
        <f t="shared" si="6"/>
        <v>282000</v>
      </c>
      <c r="O16" s="78">
        <f t="shared" si="6"/>
        <v>282000</v>
      </c>
    </row>
    <row r="17" spans="1:15" x14ac:dyDescent="0.25">
      <c r="A17" s="6" t="s">
        <v>118</v>
      </c>
      <c r="E17" s="83" t="s">
        <v>2</v>
      </c>
      <c r="F17" s="78"/>
      <c r="G17" s="78"/>
      <c r="H17" s="78">
        <f>(B28+B29+B30)*9.5/12</f>
        <v>3720833.3333333335</v>
      </c>
      <c r="I17" s="78">
        <f>B28+B29+B30</f>
        <v>4700000</v>
      </c>
      <c r="J17" s="78">
        <f t="shared" ref="J17:O23" si="7">I17</f>
        <v>4700000</v>
      </c>
      <c r="K17" s="78">
        <f t="shared" si="7"/>
        <v>4700000</v>
      </c>
      <c r="L17" s="78">
        <f t="shared" si="7"/>
        <v>4700000</v>
      </c>
      <c r="M17" s="78">
        <f t="shared" si="7"/>
        <v>4700000</v>
      </c>
      <c r="N17" s="78">
        <f t="shared" si="7"/>
        <v>4700000</v>
      </c>
      <c r="O17" s="78">
        <f t="shared" si="7"/>
        <v>4700000</v>
      </c>
    </row>
    <row r="18" spans="1:15" x14ac:dyDescent="0.25">
      <c r="A18" s="7" t="s">
        <v>29</v>
      </c>
      <c r="B18">
        <f>1800000*17</f>
        <v>30600000</v>
      </c>
      <c r="E18" s="83" t="s">
        <v>3</v>
      </c>
      <c r="F18" s="78"/>
      <c r="G18" s="78"/>
      <c r="H18" s="78">
        <f>I18*9.5/12</f>
        <v>1456666.6666666667</v>
      </c>
      <c r="I18" s="78">
        <f>B38+B39+B40+B41+B42</f>
        <v>1840000</v>
      </c>
      <c r="J18" s="78">
        <f t="shared" si="7"/>
        <v>1840000</v>
      </c>
      <c r="K18" s="78">
        <f t="shared" si="7"/>
        <v>1840000</v>
      </c>
      <c r="L18" s="78">
        <f t="shared" si="7"/>
        <v>1840000</v>
      </c>
      <c r="M18" s="78">
        <f t="shared" si="7"/>
        <v>1840000</v>
      </c>
      <c r="N18" s="78">
        <f t="shared" si="7"/>
        <v>1840000</v>
      </c>
      <c r="O18" s="78">
        <f t="shared" si="7"/>
        <v>1840000</v>
      </c>
    </row>
    <row r="19" spans="1:15" x14ac:dyDescent="0.25">
      <c r="A19" s="7" t="s">
        <v>30</v>
      </c>
      <c r="B19">
        <f>17*30000</f>
        <v>510000</v>
      </c>
      <c r="E19" s="83" t="s">
        <v>5</v>
      </c>
      <c r="F19" s="78"/>
      <c r="G19" s="78"/>
      <c r="H19" s="78">
        <f>I19*9.5/12</f>
        <v>95000</v>
      </c>
      <c r="I19" s="78">
        <f>B53</f>
        <v>120000</v>
      </c>
      <c r="J19" s="78">
        <f t="shared" si="7"/>
        <v>120000</v>
      </c>
      <c r="K19" s="78">
        <f t="shared" si="7"/>
        <v>120000</v>
      </c>
      <c r="L19" s="78">
        <f t="shared" si="7"/>
        <v>120000</v>
      </c>
      <c r="M19" s="78">
        <f t="shared" si="7"/>
        <v>120000</v>
      </c>
      <c r="N19" s="78">
        <f t="shared" si="7"/>
        <v>120000</v>
      </c>
      <c r="O19" s="78">
        <f t="shared" si="7"/>
        <v>120000</v>
      </c>
    </row>
    <row r="20" spans="1:15" ht="16.5" customHeight="1" x14ac:dyDescent="0.25">
      <c r="A20" s="7" t="s">
        <v>31</v>
      </c>
      <c r="B20">
        <f>17*10000</f>
        <v>170000</v>
      </c>
      <c r="E20" s="83" t="s">
        <v>4</v>
      </c>
      <c r="F20" s="78"/>
      <c r="G20" s="78"/>
      <c r="H20" s="78">
        <f>I20*9.5/12</f>
        <v>245416.66666666666</v>
      </c>
      <c r="I20" s="78">
        <f>B46+B47</f>
        <v>310000</v>
      </c>
      <c r="J20" s="78">
        <f t="shared" si="7"/>
        <v>310000</v>
      </c>
      <c r="K20" s="78">
        <f t="shared" si="7"/>
        <v>310000</v>
      </c>
      <c r="L20" s="78">
        <f t="shared" si="7"/>
        <v>310000</v>
      </c>
      <c r="M20" s="78">
        <f t="shared" si="7"/>
        <v>310000</v>
      </c>
      <c r="N20" s="78">
        <f t="shared" si="7"/>
        <v>310000</v>
      </c>
      <c r="O20" s="78">
        <f t="shared" si="7"/>
        <v>310000</v>
      </c>
    </row>
    <row r="21" spans="1:15" ht="32.25" customHeight="1" x14ac:dyDescent="0.25">
      <c r="A21" s="7" t="s">
        <v>12</v>
      </c>
      <c r="B21">
        <f>17*10000</f>
        <v>170000</v>
      </c>
      <c r="E21" s="83" t="s">
        <v>23</v>
      </c>
      <c r="F21" s="78"/>
      <c r="G21" s="78"/>
      <c r="H21" s="78">
        <f>I21*9.5/12</f>
        <v>79166.666666666672</v>
      </c>
      <c r="I21" s="78">
        <f>B57</f>
        <v>100000</v>
      </c>
      <c r="J21" s="78">
        <f t="shared" si="7"/>
        <v>100000</v>
      </c>
      <c r="K21" s="78">
        <f t="shared" si="7"/>
        <v>100000</v>
      </c>
      <c r="L21" s="78">
        <f t="shared" si="7"/>
        <v>100000</v>
      </c>
      <c r="M21" s="78">
        <f t="shared" si="7"/>
        <v>100000</v>
      </c>
      <c r="N21" s="78">
        <f t="shared" si="7"/>
        <v>100000</v>
      </c>
      <c r="O21" s="78">
        <f t="shared" si="7"/>
        <v>100000</v>
      </c>
    </row>
    <row r="22" spans="1:15" ht="30" x14ac:dyDescent="0.25">
      <c r="A22" s="8" t="s">
        <v>122</v>
      </c>
      <c r="B22">
        <f>B12+B13+B18+B19+B20+B21</f>
        <v>31696000</v>
      </c>
      <c r="E22" s="83" t="s">
        <v>226</v>
      </c>
      <c r="F22" s="78"/>
      <c r="G22" s="78"/>
      <c r="H22" s="78">
        <f>I22*9.5/12</f>
        <v>55416.666666666664</v>
      </c>
      <c r="I22" s="78">
        <f>B61+B62</f>
        <v>70000</v>
      </c>
      <c r="J22" s="78">
        <f t="shared" si="7"/>
        <v>70000</v>
      </c>
      <c r="K22" s="78">
        <f t="shared" si="7"/>
        <v>70000</v>
      </c>
      <c r="L22" s="78">
        <f t="shared" si="7"/>
        <v>70000</v>
      </c>
      <c r="M22" s="78">
        <f t="shared" si="7"/>
        <v>70000</v>
      </c>
      <c r="N22" s="78">
        <f t="shared" si="7"/>
        <v>70000</v>
      </c>
      <c r="O22" s="78">
        <f t="shared" si="7"/>
        <v>70000</v>
      </c>
    </row>
    <row r="23" spans="1:15" ht="30" x14ac:dyDescent="0.25">
      <c r="A23" s="9" t="s">
        <v>32</v>
      </c>
      <c r="E23" s="84" t="s">
        <v>233</v>
      </c>
      <c r="F23" s="82"/>
      <c r="G23" s="82"/>
      <c r="H23" s="82">
        <f>I23</f>
        <v>31450000</v>
      </c>
      <c r="I23" s="82">
        <f>B18+B19+B20+B21</f>
        <v>31450000</v>
      </c>
      <c r="J23" s="82">
        <f>I23</f>
        <v>31450000</v>
      </c>
      <c r="K23" s="82">
        <f t="shared" si="7"/>
        <v>31450000</v>
      </c>
      <c r="L23" s="82">
        <f t="shared" si="7"/>
        <v>31450000</v>
      </c>
      <c r="M23" s="82">
        <f t="shared" si="7"/>
        <v>31450000</v>
      </c>
      <c r="N23" s="82">
        <f t="shared" si="7"/>
        <v>31450000</v>
      </c>
      <c r="O23" s="82">
        <f t="shared" si="7"/>
        <v>31450000</v>
      </c>
    </row>
    <row r="24" spans="1:15" x14ac:dyDescent="0.25">
      <c r="E24" s="84" t="s">
        <v>24</v>
      </c>
      <c r="F24" s="82"/>
      <c r="G24" s="82"/>
      <c r="H24" s="82">
        <f>B71</f>
        <v>4000000</v>
      </c>
      <c r="I24" s="82">
        <f>H24</f>
        <v>4000000</v>
      </c>
      <c r="J24" s="82">
        <f>I24</f>
        <v>4000000</v>
      </c>
      <c r="K24" s="82">
        <f t="shared" ref="K24:O26" si="8">J24</f>
        <v>4000000</v>
      </c>
      <c r="L24" s="82">
        <f t="shared" si="8"/>
        <v>4000000</v>
      </c>
      <c r="M24" s="82">
        <f t="shared" si="8"/>
        <v>4000000</v>
      </c>
      <c r="N24" s="82">
        <f t="shared" si="8"/>
        <v>4000000</v>
      </c>
      <c r="O24" s="82">
        <f t="shared" si="8"/>
        <v>4000000</v>
      </c>
    </row>
    <row r="25" spans="1:15" x14ac:dyDescent="0.25">
      <c r="E25" s="84" t="s">
        <v>232</v>
      </c>
      <c r="F25" s="82"/>
      <c r="G25" s="82"/>
      <c r="H25" s="82">
        <f>I25*9.5/12</f>
        <v>665000</v>
      </c>
      <c r="I25" s="82">
        <f>C72</f>
        <v>840000</v>
      </c>
      <c r="J25" s="82">
        <f>I25</f>
        <v>840000</v>
      </c>
      <c r="K25" s="82">
        <f t="shared" si="8"/>
        <v>840000</v>
      </c>
      <c r="L25" s="82">
        <f t="shared" si="8"/>
        <v>840000</v>
      </c>
      <c r="M25" s="82">
        <f t="shared" si="8"/>
        <v>840000</v>
      </c>
      <c r="N25" s="82">
        <f t="shared" si="8"/>
        <v>840000</v>
      </c>
      <c r="O25" s="82">
        <f t="shared" si="8"/>
        <v>840000</v>
      </c>
    </row>
    <row r="26" spans="1:15" x14ac:dyDescent="0.25">
      <c r="A26" s="1" t="s">
        <v>2</v>
      </c>
      <c r="E26" s="84" t="s">
        <v>27</v>
      </c>
      <c r="F26" s="82"/>
      <c r="G26" s="82"/>
      <c r="H26" s="82">
        <f>I26*9.5/12</f>
        <v>237500</v>
      </c>
      <c r="I26" s="82">
        <f>C73</f>
        <v>300000</v>
      </c>
      <c r="J26" s="82">
        <f>I26</f>
        <v>300000</v>
      </c>
      <c r="K26" s="82">
        <f t="shared" si="8"/>
        <v>300000</v>
      </c>
      <c r="L26" s="82">
        <f t="shared" si="8"/>
        <v>300000</v>
      </c>
      <c r="M26" s="82">
        <f t="shared" si="8"/>
        <v>300000</v>
      </c>
      <c r="N26" s="82">
        <f t="shared" si="8"/>
        <v>300000</v>
      </c>
      <c r="O26" s="82">
        <f t="shared" si="8"/>
        <v>300000</v>
      </c>
    </row>
    <row r="27" spans="1:15" ht="30" x14ac:dyDescent="0.25">
      <c r="A27" t="s">
        <v>21</v>
      </c>
      <c r="E27" s="77" t="s">
        <v>234</v>
      </c>
      <c r="F27" s="79"/>
      <c r="G27" s="79"/>
      <c r="H27" s="79">
        <f t="shared" ref="H27:O27" si="9">H26+H25+H24+H23+H15+H14</f>
        <v>48983075</v>
      </c>
      <c r="I27" s="79">
        <f t="shared" si="9"/>
        <v>52470200</v>
      </c>
      <c r="J27" s="79">
        <f t="shared" si="9"/>
        <v>52470200</v>
      </c>
      <c r="K27" s="79">
        <f t="shared" si="9"/>
        <v>52470200</v>
      </c>
      <c r="L27" s="79">
        <f t="shared" si="9"/>
        <v>52470200</v>
      </c>
      <c r="M27" s="79">
        <f t="shared" si="9"/>
        <v>52470200</v>
      </c>
      <c r="N27" s="79">
        <f t="shared" si="9"/>
        <v>52470200</v>
      </c>
      <c r="O27" s="79">
        <f t="shared" si="9"/>
        <v>52470200</v>
      </c>
    </row>
    <row r="28" spans="1:15" x14ac:dyDescent="0.25">
      <c r="A28" s="2" t="s">
        <v>149</v>
      </c>
      <c r="B28">
        <v>3000000</v>
      </c>
      <c r="E28" s="72"/>
      <c r="F28" s="71"/>
      <c r="G28" s="71"/>
      <c r="H28" s="71"/>
      <c r="I28" s="71"/>
      <c r="J28" s="71"/>
      <c r="K28" s="71"/>
      <c r="L28" s="71"/>
      <c r="M28" s="71"/>
      <c r="N28" s="71"/>
      <c r="O28" s="71"/>
    </row>
    <row r="29" spans="1:15" x14ac:dyDescent="0.25">
      <c r="A29" s="2" t="s">
        <v>20</v>
      </c>
      <c r="B29">
        <v>1200000</v>
      </c>
      <c r="E29" s="11"/>
      <c r="F29" s="75">
        <v>1</v>
      </c>
      <c r="G29" s="75">
        <v>2</v>
      </c>
      <c r="H29" s="75">
        <v>3</v>
      </c>
      <c r="I29" s="75">
        <v>4</v>
      </c>
      <c r="J29" s="75">
        <v>5</v>
      </c>
      <c r="K29" s="75">
        <v>6</v>
      </c>
      <c r="L29" s="75">
        <v>7</v>
      </c>
      <c r="M29" s="75">
        <v>8</v>
      </c>
      <c r="N29" s="75">
        <v>9</v>
      </c>
      <c r="O29" s="75">
        <v>10</v>
      </c>
    </row>
    <row r="30" spans="1:15" x14ac:dyDescent="0.25">
      <c r="A30" s="2" t="s">
        <v>12</v>
      </c>
      <c r="B30">
        <v>500000</v>
      </c>
      <c r="E30" s="75" t="s">
        <v>9</v>
      </c>
      <c r="F30" s="75">
        <v>2016</v>
      </c>
      <c r="G30" s="75">
        <v>2017</v>
      </c>
      <c r="H30" s="75">
        <v>2018</v>
      </c>
      <c r="I30" s="75">
        <v>2019</v>
      </c>
      <c r="J30" s="75">
        <v>2020</v>
      </c>
      <c r="K30" s="75">
        <v>2021</v>
      </c>
      <c r="L30" s="75">
        <v>2022</v>
      </c>
      <c r="M30" s="75">
        <v>2023</v>
      </c>
      <c r="N30" s="75">
        <v>2024</v>
      </c>
      <c r="O30" s="75">
        <v>2025</v>
      </c>
    </row>
    <row r="31" spans="1:15" x14ac:dyDescent="0.25">
      <c r="A31" t="s">
        <v>9</v>
      </c>
      <c r="B31">
        <v>200000</v>
      </c>
      <c r="E31" s="11" t="s">
        <v>225</v>
      </c>
      <c r="F31" s="78"/>
      <c r="G31" s="78"/>
      <c r="H31" s="78">
        <f>I31*9.5/12</f>
        <v>285000</v>
      </c>
      <c r="I31" s="78">
        <f>B15</f>
        <v>360000</v>
      </c>
      <c r="J31" s="78">
        <f>I31</f>
        <v>360000</v>
      </c>
      <c r="K31" s="78">
        <f t="shared" ref="K31:O31" si="10">J31</f>
        <v>360000</v>
      </c>
      <c r="L31" s="78">
        <f t="shared" si="10"/>
        <v>360000</v>
      </c>
      <c r="M31" s="78">
        <f t="shared" si="10"/>
        <v>360000</v>
      </c>
      <c r="N31" s="78">
        <f t="shared" si="10"/>
        <v>360000</v>
      </c>
      <c r="O31" s="78">
        <f t="shared" si="10"/>
        <v>360000</v>
      </c>
    </row>
    <row r="32" spans="1:15" x14ac:dyDescent="0.25">
      <c r="A32" t="s">
        <v>10</v>
      </c>
      <c r="B32">
        <v>1000000</v>
      </c>
      <c r="E32" s="76" t="s">
        <v>2</v>
      </c>
      <c r="F32" s="78"/>
      <c r="G32" s="78"/>
      <c r="H32" s="78">
        <f t="shared" ref="H32:H36" si="11">I32*9.5/12</f>
        <v>158333.33333333334</v>
      </c>
      <c r="I32" s="78">
        <f>B31</f>
        <v>200000</v>
      </c>
      <c r="J32" s="78">
        <f t="shared" ref="J32:O36" si="12">I32</f>
        <v>200000</v>
      </c>
      <c r="K32" s="78">
        <f t="shared" si="12"/>
        <v>200000</v>
      </c>
      <c r="L32" s="78">
        <f t="shared" si="12"/>
        <v>200000</v>
      </c>
      <c r="M32" s="78">
        <f t="shared" si="12"/>
        <v>200000</v>
      </c>
      <c r="N32" s="78">
        <f t="shared" si="12"/>
        <v>200000</v>
      </c>
      <c r="O32" s="78">
        <f t="shared" si="12"/>
        <v>200000</v>
      </c>
    </row>
    <row r="33" spans="1:15" x14ac:dyDescent="0.25">
      <c r="E33" s="76" t="s">
        <v>5</v>
      </c>
      <c r="F33" s="78"/>
      <c r="G33" s="78"/>
      <c r="H33" s="78">
        <f t="shared" si="11"/>
        <v>79166.666666666672</v>
      </c>
      <c r="I33" s="78">
        <f>B55</f>
        <v>100000</v>
      </c>
      <c r="J33" s="78">
        <f t="shared" si="12"/>
        <v>100000</v>
      </c>
      <c r="K33" s="78">
        <f t="shared" si="12"/>
        <v>100000</v>
      </c>
      <c r="L33" s="78">
        <f t="shared" si="12"/>
        <v>100000</v>
      </c>
      <c r="M33" s="78">
        <f t="shared" si="12"/>
        <v>100000</v>
      </c>
      <c r="N33" s="78">
        <f t="shared" si="12"/>
        <v>100000</v>
      </c>
      <c r="O33" s="78">
        <f t="shared" si="12"/>
        <v>100000</v>
      </c>
    </row>
    <row r="34" spans="1:15" x14ac:dyDescent="0.25">
      <c r="E34" s="76" t="s">
        <v>4</v>
      </c>
      <c r="F34" s="78"/>
      <c r="G34" s="78"/>
      <c r="H34" s="78">
        <f t="shared" si="11"/>
        <v>15833.333333333334</v>
      </c>
      <c r="I34" s="78">
        <f>B48</f>
        <v>20000</v>
      </c>
      <c r="J34" s="78">
        <f t="shared" si="12"/>
        <v>20000</v>
      </c>
      <c r="K34" s="78">
        <f t="shared" si="12"/>
        <v>20000</v>
      </c>
      <c r="L34" s="78">
        <f t="shared" si="12"/>
        <v>20000</v>
      </c>
      <c r="M34" s="78">
        <f t="shared" si="12"/>
        <v>20000</v>
      </c>
      <c r="N34" s="78">
        <f t="shared" si="12"/>
        <v>20000</v>
      </c>
      <c r="O34" s="78">
        <f t="shared" si="12"/>
        <v>20000</v>
      </c>
    </row>
    <row r="35" spans="1:15" ht="30" x14ac:dyDescent="0.25">
      <c r="A35" s="1" t="s">
        <v>3</v>
      </c>
      <c r="E35" s="76" t="s">
        <v>23</v>
      </c>
      <c r="F35" s="78"/>
      <c r="G35" s="78"/>
      <c r="H35" s="78">
        <f t="shared" si="11"/>
        <v>15833.333333333334</v>
      </c>
      <c r="I35" s="78">
        <f>B63</f>
        <v>20000</v>
      </c>
      <c r="J35" s="78">
        <f t="shared" si="12"/>
        <v>20000</v>
      </c>
      <c r="K35" s="78">
        <f t="shared" si="12"/>
        <v>20000</v>
      </c>
      <c r="L35" s="78">
        <f t="shared" si="12"/>
        <v>20000</v>
      </c>
      <c r="M35" s="78">
        <f t="shared" si="12"/>
        <v>20000</v>
      </c>
      <c r="N35" s="78">
        <f t="shared" si="12"/>
        <v>20000</v>
      </c>
      <c r="O35" s="78">
        <f t="shared" si="12"/>
        <v>20000</v>
      </c>
    </row>
    <row r="36" spans="1:15" x14ac:dyDescent="0.25">
      <c r="A36" s="127" t="s">
        <v>237</v>
      </c>
      <c r="B36" s="127"/>
      <c r="E36" s="76" t="s">
        <v>226</v>
      </c>
      <c r="F36" s="78"/>
      <c r="G36" s="78"/>
      <c r="H36" s="78">
        <f t="shared" si="11"/>
        <v>15833.333333333334</v>
      </c>
      <c r="I36" s="78">
        <f>B63</f>
        <v>20000</v>
      </c>
      <c r="J36" s="78">
        <f t="shared" si="12"/>
        <v>20000</v>
      </c>
      <c r="K36" s="78">
        <f t="shared" si="12"/>
        <v>20000</v>
      </c>
      <c r="L36" s="78">
        <f t="shared" si="12"/>
        <v>20000</v>
      </c>
      <c r="M36" s="78">
        <f t="shared" si="12"/>
        <v>20000</v>
      </c>
      <c r="N36" s="78">
        <f t="shared" si="12"/>
        <v>20000</v>
      </c>
      <c r="O36" s="78">
        <f t="shared" si="12"/>
        <v>20000</v>
      </c>
    </row>
    <row r="37" spans="1:15" ht="30" x14ac:dyDescent="0.25">
      <c r="A37" t="s">
        <v>21</v>
      </c>
      <c r="B37" s="7"/>
      <c r="E37" s="77" t="s">
        <v>235</v>
      </c>
      <c r="F37" s="79"/>
      <c r="G37" s="79"/>
      <c r="H37" s="79">
        <f t="shared" ref="H37:O37" si="13">SUM(H31:H36)</f>
        <v>570000.00000000012</v>
      </c>
      <c r="I37" s="79">
        <f t="shared" si="13"/>
        <v>720000</v>
      </c>
      <c r="J37" s="79">
        <f t="shared" si="13"/>
        <v>720000</v>
      </c>
      <c r="K37" s="79">
        <f t="shared" si="13"/>
        <v>720000</v>
      </c>
      <c r="L37" s="79">
        <f t="shared" si="13"/>
        <v>720000</v>
      </c>
      <c r="M37" s="79">
        <f t="shared" si="13"/>
        <v>720000</v>
      </c>
      <c r="N37" s="79">
        <f t="shared" si="13"/>
        <v>720000</v>
      </c>
      <c r="O37" s="79">
        <f t="shared" si="13"/>
        <v>720000</v>
      </c>
    </row>
    <row r="38" spans="1:15" x14ac:dyDescent="0.25">
      <c r="A38" t="s">
        <v>227</v>
      </c>
      <c r="B38" s="7">
        <v>1500000</v>
      </c>
      <c r="F38" s="71"/>
      <c r="G38" s="71"/>
      <c r="H38" s="71"/>
      <c r="I38" s="71"/>
      <c r="J38" s="71"/>
      <c r="K38" s="71"/>
      <c r="L38" s="71"/>
      <c r="M38" s="71"/>
      <c r="N38" s="71"/>
      <c r="O38" s="71"/>
    </row>
    <row r="39" spans="1:15" x14ac:dyDescent="0.25">
      <c r="A39" t="s">
        <v>228</v>
      </c>
      <c r="B39" s="7">
        <v>30000</v>
      </c>
      <c r="E39" s="11"/>
      <c r="F39" s="75">
        <v>1</v>
      </c>
      <c r="G39" s="75">
        <v>2</v>
      </c>
      <c r="H39" s="75">
        <v>3</v>
      </c>
      <c r="I39" s="75">
        <v>4</v>
      </c>
      <c r="J39" s="75">
        <v>5</v>
      </c>
      <c r="K39" s="75">
        <v>6</v>
      </c>
      <c r="L39" s="75">
        <v>7</v>
      </c>
      <c r="M39" s="75">
        <v>8</v>
      </c>
      <c r="N39" s="75">
        <v>9</v>
      </c>
      <c r="O39" s="75">
        <v>10</v>
      </c>
    </row>
    <row r="40" spans="1:15" x14ac:dyDescent="0.25">
      <c r="A40" t="s">
        <v>229</v>
      </c>
      <c r="B40" s="7">
        <f>7*10000</f>
        <v>70000</v>
      </c>
      <c r="E40" s="75" t="s">
        <v>10</v>
      </c>
      <c r="F40" s="75">
        <v>2016</v>
      </c>
      <c r="G40" s="75">
        <v>2017</v>
      </c>
      <c r="H40" s="75">
        <v>2018</v>
      </c>
      <c r="I40" s="75">
        <v>2019</v>
      </c>
      <c r="J40" s="75">
        <v>2020</v>
      </c>
      <c r="K40" s="75">
        <v>2021</v>
      </c>
      <c r="L40" s="75">
        <v>2022</v>
      </c>
      <c r="M40" s="75">
        <v>2023</v>
      </c>
      <c r="N40" s="75">
        <v>2024</v>
      </c>
      <c r="O40" s="75">
        <v>2025</v>
      </c>
    </row>
    <row r="41" spans="1:15" x14ac:dyDescent="0.25">
      <c r="A41" t="s">
        <v>230</v>
      </c>
      <c r="B41" s="7">
        <v>120000</v>
      </c>
      <c r="E41" s="11" t="s">
        <v>225</v>
      </c>
      <c r="F41" s="11"/>
      <c r="G41" s="11"/>
      <c r="H41" s="11"/>
      <c r="I41" s="78">
        <f>B16</f>
        <v>1000000</v>
      </c>
      <c r="J41" s="78">
        <f>I41</f>
        <v>1000000</v>
      </c>
      <c r="K41" s="78">
        <f t="shared" ref="K41:N41" si="14">J41</f>
        <v>1000000</v>
      </c>
      <c r="L41" s="78">
        <f t="shared" si="14"/>
        <v>1000000</v>
      </c>
      <c r="M41" s="78">
        <f t="shared" si="14"/>
        <v>1000000</v>
      </c>
      <c r="N41" s="78">
        <f t="shared" si="14"/>
        <v>1000000</v>
      </c>
      <c r="O41" s="78">
        <f>H55*0.02*5</f>
        <v>25100000</v>
      </c>
    </row>
    <row r="42" spans="1:15" ht="30" x14ac:dyDescent="0.25">
      <c r="A42" t="s">
        <v>231</v>
      </c>
      <c r="B42" s="7">
        <v>120000</v>
      </c>
      <c r="E42" s="76" t="s">
        <v>245</v>
      </c>
      <c r="F42" s="11"/>
      <c r="G42" s="11"/>
      <c r="H42" s="11"/>
      <c r="I42" s="78">
        <f>B32</f>
        <v>1000000</v>
      </c>
      <c r="J42" s="78">
        <f t="shared" ref="J42:N44" si="15">I42</f>
        <v>1000000</v>
      </c>
      <c r="K42" s="78">
        <f t="shared" si="15"/>
        <v>1000000</v>
      </c>
      <c r="L42" s="78">
        <f t="shared" si="15"/>
        <v>1000000</v>
      </c>
      <c r="M42" s="78">
        <f t="shared" si="15"/>
        <v>1000000</v>
      </c>
      <c r="N42" s="78">
        <f t="shared" si="15"/>
        <v>1000000</v>
      </c>
      <c r="O42" s="78">
        <f>H56*0.02*5</f>
        <v>16000000</v>
      </c>
    </row>
    <row r="43" spans="1:15" x14ac:dyDescent="0.25">
      <c r="A43" t="s">
        <v>15</v>
      </c>
      <c r="E43" s="76" t="s">
        <v>3</v>
      </c>
      <c r="F43" s="11"/>
      <c r="G43" s="11"/>
      <c r="H43" s="11"/>
      <c r="I43" s="78">
        <f>B44</f>
        <v>100000</v>
      </c>
      <c r="J43" s="78">
        <f t="shared" si="15"/>
        <v>100000</v>
      </c>
      <c r="K43" s="78">
        <f t="shared" si="15"/>
        <v>100000</v>
      </c>
      <c r="L43" s="78">
        <f t="shared" si="15"/>
        <v>100000</v>
      </c>
      <c r="M43" s="78">
        <f t="shared" si="15"/>
        <v>100000</v>
      </c>
      <c r="N43" s="78">
        <f t="shared" si="15"/>
        <v>100000</v>
      </c>
      <c r="O43" s="78">
        <f>H57*0.02*5</f>
        <v>5900000</v>
      </c>
    </row>
    <row r="44" spans="1:15" x14ac:dyDescent="0.25">
      <c r="A44" t="s">
        <v>14</v>
      </c>
      <c r="B44">
        <v>100000</v>
      </c>
      <c r="E44" s="76" t="s">
        <v>5</v>
      </c>
      <c r="F44" s="11"/>
      <c r="G44" s="11"/>
      <c r="H44" s="11"/>
      <c r="I44" s="78">
        <f>B55</f>
        <v>100000</v>
      </c>
      <c r="J44" s="78">
        <f t="shared" si="15"/>
        <v>100000</v>
      </c>
      <c r="K44" s="78">
        <f t="shared" si="15"/>
        <v>100000</v>
      </c>
      <c r="L44" s="78">
        <f t="shared" si="15"/>
        <v>100000</v>
      </c>
      <c r="M44" s="78">
        <f t="shared" si="15"/>
        <v>100000</v>
      </c>
      <c r="N44" s="78">
        <f t="shared" si="15"/>
        <v>100000</v>
      </c>
      <c r="O44" s="78">
        <f t="shared" ref="O44" si="16">N44*15</f>
        <v>1500000</v>
      </c>
    </row>
    <row r="45" spans="1:15" x14ac:dyDescent="0.25">
      <c r="A45" s="1" t="s">
        <v>4</v>
      </c>
      <c r="E45" s="77" t="s">
        <v>236</v>
      </c>
      <c r="F45" s="11"/>
      <c r="G45" s="11"/>
      <c r="H45" s="11"/>
      <c r="I45" s="79">
        <f t="shared" ref="I45:O45" si="17">SUM(I41:I44)</f>
        <v>2200000</v>
      </c>
      <c r="J45" s="79">
        <f t="shared" si="17"/>
        <v>2200000</v>
      </c>
      <c r="K45" s="79">
        <f t="shared" si="17"/>
        <v>2200000</v>
      </c>
      <c r="L45" s="79">
        <f t="shared" si="17"/>
        <v>2200000</v>
      </c>
      <c r="M45" s="79">
        <f t="shared" si="17"/>
        <v>2200000</v>
      </c>
      <c r="N45" s="79">
        <f t="shared" si="17"/>
        <v>2200000</v>
      </c>
      <c r="O45" s="79">
        <f t="shared" si="17"/>
        <v>48500000</v>
      </c>
    </row>
    <row r="46" spans="1:15" x14ac:dyDescent="0.25">
      <c r="A46" s="5" t="s">
        <v>18</v>
      </c>
      <c r="B46">
        <v>300000</v>
      </c>
      <c r="I46" s="94"/>
      <c r="J46" s="94"/>
      <c r="K46" s="94"/>
      <c r="L46" s="94"/>
      <c r="M46" s="94"/>
      <c r="N46" s="94"/>
      <c r="O46" s="94"/>
    </row>
    <row r="47" spans="1:15" x14ac:dyDescent="0.25">
      <c r="A47" s="5" t="s">
        <v>17</v>
      </c>
      <c r="B47">
        <v>10000</v>
      </c>
      <c r="E47" s="11"/>
      <c r="F47" s="75">
        <v>1</v>
      </c>
      <c r="G47" s="75">
        <v>2</v>
      </c>
      <c r="H47" s="75">
        <v>3</v>
      </c>
      <c r="I47" s="75">
        <v>4</v>
      </c>
      <c r="J47" s="75">
        <v>5</v>
      </c>
      <c r="K47" s="75">
        <v>6</v>
      </c>
      <c r="L47" s="75">
        <v>7</v>
      </c>
      <c r="M47" s="75">
        <v>8</v>
      </c>
      <c r="N47" s="75">
        <v>9</v>
      </c>
      <c r="O47" s="75">
        <v>10</v>
      </c>
    </row>
    <row r="48" spans="1:15" x14ac:dyDescent="0.25">
      <c r="A48" s="5" t="s">
        <v>15</v>
      </c>
      <c r="B48">
        <v>20000</v>
      </c>
      <c r="E48" s="11" t="s">
        <v>238</v>
      </c>
      <c r="F48" s="75">
        <v>2016</v>
      </c>
      <c r="G48" s="75">
        <v>2017</v>
      </c>
      <c r="H48" s="75">
        <v>2018</v>
      </c>
      <c r="I48" s="75">
        <v>2019</v>
      </c>
      <c r="J48" s="75">
        <v>2020</v>
      </c>
      <c r="K48" s="75">
        <v>2021</v>
      </c>
      <c r="L48" s="75">
        <v>2022</v>
      </c>
      <c r="M48" s="75">
        <v>2023</v>
      </c>
      <c r="N48" s="75">
        <v>2024</v>
      </c>
      <c r="O48" s="75">
        <v>2025</v>
      </c>
    </row>
    <row r="49" spans="1:16" x14ac:dyDescent="0.25">
      <c r="A49" s="5" t="s">
        <v>10</v>
      </c>
      <c r="B49">
        <v>20000</v>
      </c>
      <c r="E49" s="11" t="s">
        <v>239</v>
      </c>
      <c r="F49" s="95">
        <f t="shared" ref="F49:O49" si="18">F9</f>
        <v>0</v>
      </c>
      <c r="G49" s="95">
        <f t="shared" si="18"/>
        <v>0</v>
      </c>
      <c r="H49" s="95">
        <f t="shared" si="18"/>
        <v>51287392</v>
      </c>
      <c r="I49" s="95">
        <f t="shared" si="18"/>
        <v>56618880</v>
      </c>
      <c r="J49" s="95">
        <f t="shared" si="18"/>
        <v>56618880</v>
      </c>
      <c r="K49" s="95">
        <f t="shared" si="18"/>
        <v>56618880</v>
      </c>
      <c r="L49" s="95">
        <f t="shared" si="18"/>
        <v>56618880</v>
      </c>
      <c r="M49" s="95">
        <f t="shared" si="18"/>
        <v>56618880</v>
      </c>
      <c r="N49" s="95">
        <f t="shared" si="18"/>
        <v>56618880</v>
      </c>
      <c r="O49" s="95">
        <f t="shared" si="18"/>
        <v>56618880</v>
      </c>
    </row>
    <row r="50" spans="1:16" x14ac:dyDescent="0.25">
      <c r="A50" s="1" t="s">
        <v>5</v>
      </c>
      <c r="B50" t="s">
        <v>6</v>
      </c>
      <c r="C50" t="s">
        <v>7</v>
      </c>
      <c r="D50" t="s">
        <v>8</v>
      </c>
      <c r="E50" s="11" t="s">
        <v>240</v>
      </c>
      <c r="F50" s="95">
        <f t="shared" ref="F50:O50" si="19">F27+F37+F45</f>
        <v>0</v>
      </c>
      <c r="G50" s="95">
        <f t="shared" si="19"/>
        <v>0</v>
      </c>
      <c r="H50" s="95">
        <f t="shared" si="19"/>
        <v>49553075</v>
      </c>
      <c r="I50" s="95">
        <f t="shared" si="19"/>
        <v>55390200</v>
      </c>
      <c r="J50" s="95">
        <f t="shared" si="19"/>
        <v>55390200</v>
      </c>
      <c r="K50" s="95">
        <f t="shared" si="19"/>
        <v>55390200</v>
      </c>
      <c r="L50" s="95">
        <f t="shared" si="19"/>
        <v>55390200</v>
      </c>
      <c r="M50" s="95">
        <f t="shared" si="19"/>
        <v>55390200</v>
      </c>
      <c r="N50" s="95">
        <f t="shared" si="19"/>
        <v>55390200</v>
      </c>
      <c r="O50" s="95">
        <f t="shared" si="19"/>
        <v>101690200</v>
      </c>
    </row>
    <row r="51" spans="1:16" x14ac:dyDescent="0.25">
      <c r="A51" t="s">
        <v>11</v>
      </c>
      <c r="B51" t="s">
        <v>124</v>
      </c>
      <c r="E51" s="75" t="s">
        <v>238</v>
      </c>
      <c r="F51" s="96">
        <f>F49-F50</f>
        <v>0</v>
      </c>
      <c r="G51" s="96">
        <f t="shared" ref="G51:O51" si="20">G49-G50</f>
        <v>0</v>
      </c>
      <c r="H51" s="96">
        <f t="shared" si="20"/>
        <v>1734317</v>
      </c>
      <c r="I51" s="96">
        <f t="shared" si="20"/>
        <v>1228680</v>
      </c>
      <c r="J51" s="96">
        <f t="shared" si="20"/>
        <v>1228680</v>
      </c>
      <c r="K51" s="96">
        <f t="shared" si="20"/>
        <v>1228680</v>
      </c>
      <c r="L51" s="96">
        <f t="shared" si="20"/>
        <v>1228680</v>
      </c>
      <c r="M51" s="96">
        <f t="shared" si="20"/>
        <v>1228680</v>
      </c>
      <c r="N51" s="96">
        <f t="shared" si="20"/>
        <v>1228680</v>
      </c>
      <c r="O51" s="96">
        <f t="shared" si="20"/>
        <v>-45071320</v>
      </c>
    </row>
    <row r="52" spans="1:16" ht="30" x14ac:dyDescent="0.25">
      <c r="A52" s="7" t="s">
        <v>150</v>
      </c>
      <c r="B52">
        <v>830</v>
      </c>
    </row>
    <row r="53" spans="1:16" x14ac:dyDescent="0.25">
      <c r="A53" t="s">
        <v>12</v>
      </c>
      <c r="B53">
        <v>120000</v>
      </c>
    </row>
    <row r="54" spans="1:16" x14ac:dyDescent="0.25">
      <c r="A54" t="s">
        <v>9</v>
      </c>
      <c r="B54">
        <v>20000</v>
      </c>
      <c r="E54" s="75" t="s">
        <v>243</v>
      </c>
      <c r="F54" s="75">
        <v>1</v>
      </c>
      <c r="G54" s="75">
        <v>2</v>
      </c>
      <c r="H54" s="75">
        <v>3</v>
      </c>
      <c r="I54" s="75">
        <v>4</v>
      </c>
      <c r="J54" s="75">
        <v>5</v>
      </c>
      <c r="K54" s="75">
        <v>6</v>
      </c>
      <c r="L54" s="75">
        <v>7</v>
      </c>
      <c r="M54" s="75">
        <v>8</v>
      </c>
      <c r="N54" s="75">
        <v>9</v>
      </c>
      <c r="O54" s="75">
        <v>10</v>
      </c>
    </row>
    <row r="55" spans="1:16" x14ac:dyDescent="0.25">
      <c r="A55" t="s">
        <v>10</v>
      </c>
      <c r="B55">
        <v>100000</v>
      </c>
      <c r="E55" s="11" t="s">
        <v>225</v>
      </c>
      <c r="F55" s="11"/>
      <c r="G55" s="11"/>
      <c r="H55" s="78">
        <v>251000000</v>
      </c>
      <c r="I55" s="78">
        <f>H55*0.97</f>
        <v>243470000</v>
      </c>
      <c r="J55" s="78">
        <f t="shared" ref="J55:O55" si="21">I55*0.97</f>
        <v>236165900</v>
      </c>
      <c r="K55" s="78">
        <f t="shared" si="21"/>
        <v>229080923</v>
      </c>
      <c r="L55" s="78">
        <f t="shared" si="21"/>
        <v>222208495.31</v>
      </c>
      <c r="M55" s="78">
        <f t="shared" si="21"/>
        <v>215542240.45069999</v>
      </c>
      <c r="N55" s="78">
        <f t="shared" si="21"/>
        <v>209075973.23717898</v>
      </c>
      <c r="O55" s="78">
        <f t="shared" si="21"/>
        <v>202803694.04006362</v>
      </c>
    </row>
    <row r="56" spans="1:16" ht="30" x14ac:dyDescent="0.25">
      <c r="A56" s="1" t="s">
        <v>23</v>
      </c>
      <c r="E56" s="13" t="s">
        <v>253</v>
      </c>
      <c r="F56" s="11"/>
      <c r="G56" s="11"/>
      <c r="H56" s="78">
        <v>160000000</v>
      </c>
      <c r="I56" s="78">
        <f t="shared" ref="I56:O57" si="22">H56*0.97</f>
        <v>155200000</v>
      </c>
      <c r="J56" s="78">
        <f t="shared" si="22"/>
        <v>150544000</v>
      </c>
      <c r="K56" s="78">
        <f t="shared" si="22"/>
        <v>146027680</v>
      </c>
      <c r="L56" s="78">
        <f t="shared" si="22"/>
        <v>141646849.59999999</v>
      </c>
      <c r="M56" s="78">
        <f t="shared" si="22"/>
        <v>137397444.11199999</v>
      </c>
      <c r="N56" s="78">
        <f t="shared" si="22"/>
        <v>133275520.78863999</v>
      </c>
      <c r="O56" s="78">
        <f t="shared" si="22"/>
        <v>129277255.16498078</v>
      </c>
    </row>
    <row r="57" spans="1:16" x14ac:dyDescent="0.25">
      <c r="A57" t="s">
        <v>18</v>
      </c>
      <c r="B57">
        <v>100000</v>
      </c>
      <c r="E57" s="11" t="s">
        <v>3</v>
      </c>
      <c r="F57" s="11"/>
      <c r="G57" s="11"/>
      <c r="H57" s="78">
        <v>59000000</v>
      </c>
      <c r="I57" s="78">
        <f t="shared" si="22"/>
        <v>57230000</v>
      </c>
      <c r="J57" s="78">
        <f t="shared" si="22"/>
        <v>55513100</v>
      </c>
      <c r="K57" s="78">
        <f t="shared" si="22"/>
        <v>53847707</v>
      </c>
      <c r="L57" s="78">
        <f t="shared" si="22"/>
        <v>52232275.789999999</v>
      </c>
      <c r="M57" s="78">
        <f t="shared" si="22"/>
        <v>50665307.5163</v>
      </c>
      <c r="N57" s="78">
        <f t="shared" si="22"/>
        <v>49145348.290811002</v>
      </c>
      <c r="O57" s="78">
        <f t="shared" si="22"/>
        <v>47670987.842086673</v>
      </c>
    </row>
    <row r="58" spans="1:16" x14ac:dyDescent="0.25">
      <c r="A58" t="s">
        <v>9</v>
      </c>
      <c r="B58" s="73">
        <v>10000</v>
      </c>
      <c r="E58" s="75" t="s">
        <v>244</v>
      </c>
      <c r="F58" s="11"/>
      <c r="G58" s="11"/>
      <c r="H58" s="96">
        <f t="shared" ref="H58:O58" si="23">SUM(H55:H57)</f>
        <v>470000000</v>
      </c>
      <c r="I58" s="96">
        <f t="shared" si="23"/>
        <v>455900000</v>
      </c>
      <c r="J58" s="96">
        <f t="shared" si="23"/>
        <v>442223000</v>
      </c>
      <c r="K58" s="96">
        <f t="shared" si="23"/>
        <v>428956310</v>
      </c>
      <c r="L58" s="96">
        <f t="shared" si="23"/>
        <v>416087620.69999999</v>
      </c>
      <c r="M58" s="96">
        <f t="shared" si="23"/>
        <v>403604992.079</v>
      </c>
      <c r="N58" s="96">
        <f t="shared" si="23"/>
        <v>391496842.31662995</v>
      </c>
      <c r="O58" s="96">
        <f t="shared" si="23"/>
        <v>379751937.04713106</v>
      </c>
    </row>
    <row r="59" spans="1:16" x14ac:dyDescent="0.25">
      <c r="A59" t="s">
        <v>10</v>
      </c>
      <c r="B59" s="4"/>
    </row>
    <row r="60" spans="1:16" ht="15.75" thickBot="1" x14ac:dyDescent="0.3">
      <c r="A60" s="1" t="s">
        <v>0</v>
      </c>
    </row>
    <row r="61" spans="1:16" ht="15.75" thickBot="1" x14ac:dyDescent="0.3">
      <c r="A61" s="5" t="s">
        <v>12</v>
      </c>
      <c r="B61">
        <v>60000</v>
      </c>
      <c r="E61" s="97" t="s">
        <v>246</v>
      </c>
      <c r="F61" s="98">
        <v>1</v>
      </c>
      <c r="G61" s="99">
        <v>2</v>
      </c>
      <c r="H61" s="99">
        <v>3</v>
      </c>
      <c r="I61" s="99">
        <v>4</v>
      </c>
      <c r="J61" s="99">
        <v>5</v>
      </c>
      <c r="K61" s="99">
        <v>6</v>
      </c>
      <c r="L61" s="99">
        <v>7</v>
      </c>
      <c r="M61" s="99">
        <v>8</v>
      </c>
      <c r="N61" s="99">
        <v>9</v>
      </c>
      <c r="O61" s="99">
        <v>10</v>
      </c>
    </row>
    <row r="62" spans="1:16" ht="16.5" thickBot="1" x14ac:dyDescent="0.3">
      <c r="A62" s="5" t="s">
        <v>18</v>
      </c>
      <c r="B62">
        <v>10000</v>
      </c>
      <c r="E62" s="101" t="s">
        <v>29</v>
      </c>
      <c r="F62" s="102"/>
      <c r="G62" s="102"/>
      <c r="H62" s="103">
        <v>30600000</v>
      </c>
      <c r="I62" s="104">
        <v>30600000</v>
      </c>
      <c r="J62" s="104">
        <v>30600000</v>
      </c>
      <c r="K62" s="104">
        <v>30600000</v>
      </c>
      <c r="L62" s="104">
        <v>30600000</v>
      </c>
      <c r="M62" s="104">
        <v>30600000</v>
      </c>
      <c r="N62" s="104">
        <v>30600000</v>
      </c>
      <c r="O62" s="112">
        <v>30600000</v>
      </c>
      <c r="P62" s="100"/>
    </row>
    <row r="63" spans="1:16" ht="15.75" thickBot="1" x14ac:dyDescent="0.3">
      <c r="A63" t="s">
        <v>9</v>
      </c>
      <c r="B63" s="73">
        <v>20000</v>
      </c>
      <c r="D63" s="50"/>
      <c r="E63" s="101" t="s">
        <v>247</v>
      </c>
      <c r="F63" s="102"/>
      <c r="G63" s="102"/>
      <c r="H63" s="103">
        <v>510000</v>
      </c>
      <c r="I63" s="104">
        <v>510000</v>
      </c>
      <c r="J63" s="104">
        <v>510000</v>
      </c>
      <c r="K63" s="104">
        <v>510000</v>
      </c>
      <c r="L63" s="104">
        <v>510000</v>
      </c>
      <c r="M63" s="104">
        <v>510000</v>
      </c>
      <c r="N63" s="104">
        <v>510000</v>
      </c>
      <c r="O63" s="112">
        <v>510000</v>
      </c>
      <c r="P63" s="113"/>
    </row>
    <row r="64" spans="1:16" ht="15.75" thickBot="1" x14ac:dyDescent="0.3">
      <c r="A64" t="s">
        <v>10</v>
      </c>
      <c r="B64" s="74">
        <v>30000</v>
      </c>
      <c r="E64" s="101" t="s">
        <v>31</v>
      </c>
      <c r="F64" s="102"/>
      <c r="G64" s="102"/>
      <c r="H64" s="103">
        <v>170000</v>
      </c>
      <c r="I64" s="104">
        <v>170000</v>
      </c>
      <c r="J64" s="104">
        <v>170000</v>
      </c>
      <c r="K64" s="104">
        <v>170000</v>
      </c>
      <c r="L64" s="104">
        <v>170000</v>
      </c>
      <c r="M64" s="104">
        <v>170000</v>
      </c>
      <c r="N64" s="104">
        <v>170000</v>
      </c>
      <c r="O64" s="112">
        <v>170000</v>
      </c>
      <c r="P64" s="113"/>
    </row>
    <row r="65" spans="1:16" ht="15.75" thickBot="1" x14ac:dyDescent="0.3">
      <c r="E65" s="101" t="s">
        <v>12</v>
      </c>
      <c r="F65" s="102"/>
      <c r="G65" s="102"/>
      <c r="H65" s="103">
        <v>170000</v>
      </c>
      <c r="I65" s="104">
        <v>170000</v>
      </c>
      <c r="J65" s="104">
        <v>170000</v>
      </c>
      <c r="K65" s="104">
        <v>170000</v>
      </c>
      <c r="L65" s="104">
        <v>170000</v>
      </c>
      <c r="M65" s="104">
        <v>170000</v>
      </c>
      <c r="N65" s="104">
        <v>170000</v>
      </c>
      <c r="O65" s="112">
        <v>170000</v>
      </c>
      <c r="P65" s="113"/>
    </row>
    <row r="66" spans="1:16" ht="15.75" thickBot="1" x14ac:dyDescent="0.3">
      <c r="A66" s="1" t="s">
        <v>13</v>
      </c>
      <c r="B66" t="s">
        <v>28</v>
      </c>
      <c r="E66" s="101" t="s">
        <v>21</v>
      </c>
      <c r="F66" s="102"/>
      <c r="G66" s="102"/>
      <c r="H66" s="103">
        <v>282000</v>
      </c>
      <c r="I66" s="104">
        <v>282000</v>
      </c>
      <c r="J66" s="104">
        <v>282000</v>
      </c>
      <c r="K66" s="104">
        <v>282000</v>
      </c>
      <c r="L66" s="104">
        <v>282000</v>
      </c>
      <c r="M66" s="104">
        <v>282000</v>
      </c>
      <c r="N66" s="104">
        <v>282000</v>
      </c>
      <c r="O66" s="112">
        <v>282000</v>
      </c>
      <c r="P66" s="113"/>
    </row>
    <row r="67" spans="1:16" ht="15.75" thickBot="1" x14ac:dyDescent="0.3">
      <c r="A67" t="s">
        <v>112</v>
      </c>
      <c r="B67" t="s">
        <v>113</v>
      </c>
      <c r="C67">
        <f>12*111000*1.27*2</f>
        <v>3383280</v>
      </c>
      <c r="E67" s="101" t="s">
        <v>248</v>
      </c>
      <c r="F67" s="102"/>
      <c r="G67" s="102"/>
      <c r="H67" s="102" t="s">
        <v>249</v>
      </c>
      <c r="I67" s="102" t="s">
        <v>250</v>
      </c>
      <c r="J67" s="105" t="s">
        <v>250</v>
      </c>
      <c r="K67" s="105" t="s">
        <v>250</v>
      </c>
      <c r="L67" s="105" t="s">
        <v>250</v>
      </c>
      <c r="M67" s="105" t="s">
        <v>250</v>
      </c>
      <c r="N67" s="105" t="s">
        <v>250</v>
      </c>
      <c r="O67" s="114" t="s">
        <v>250</v>
      </c>
      <c r="P67" s="113"/>
    </row>
    <row r="68" spans="1:16" ht="15.75" thickBot="1" x14ac:dyDescent="0.3">
      <c r="A68" t="s">
        <v>33</v>
      </c>
      <c r="B68" t="s">
        <v>113</v>
      </c>
      <c r="C68">
        <f>C67</f>
        <v>3383280</v>
      </c>
      <c r="E68" s="106" t="s">
        <v>251</v>
      </c>
      <c r="F68" s="107"/>
      <c r="G68" s="107"/>
      <c r="H68" s="111">
        <f>SUM(H62:H67)</f>
        <v>31732000</v>
      </c>
      <c r="I68" s="111">
        <f t="shared" ref="I68:K68" si="24">SUM(I62:I67)</f>
        <v>31732000</v>
      </c>
      <c r="J68" s="111">
        <f t="shared" si="24"/>
        <v>31732000</v>
      </c>
      <c r="K68" s="111">
        <f t="shared" si="24"/>
        <v>31732000</v>
      </c>
      <c r="L68" s="111">
        <f>SUM(L62:L67)</f>
        <v>31732000</v>
      </c>
      <c r="M68" s="111">
        <f t="shared" ref="M68" si="25">SUM(M62:M67)</f>
        <v>31732000</v>
      </c>
      <c r="N68" s="111">
        <f t="shared" ref="N68:O68" si="26">SUM(N62:N67)</f>
        <v>31732000</v>
      </c>
      <c r="O68" s="111">
        <f t="shared" si="26"/>
        <v>31732000</v>
      </c>
      <c r="P68" s="115"/>
    </row>
    <row r="69" spans="1:16" ht="15.75" thickBot="1" x14ac:dyDescent="0.3">
      <c r="A69" t="s">
        <v>114</v>
      </c>
      <c r="B69" t="s">
        <v>115</v>
      </c>
      <c r="C69">
        <f>C68/2</f>
        <v>1691640</v>
      </c>
      <c r="D69">
        <f>C69*9.5/12</f>
        <v>1339215</v>
      </c>
      <c r="E69" s="101" t="s">
        <v>9</v>
      </c>
      <c r="F69" s="108"/>
      <c r="G69" s="108"/>
      <c r="H69" s="109">
        <v>285000</v>
      </c>
      <c r="I69" s="109">
        <v>360000</v>
      </c>
      <c r="J69" s="109">
        <v>360000</v>
      </c>
      <c r="K69" s="109">
        <v>360000</v>
      </c>
      <c r="L69" s="109">
        <v>360000</v>
      </c>
      <c r="M69" s="109">
        <v>360000</v>
      </c>
      <c r="N69" s="109">
        <v>360000</v>
      </c>
      <c r="O69" s="117">
        <v>360000</v>
      </c>
      <c r="P69" s="116"/>
    </row>
    <row r="70" spans="1:16" ht="15.75" thickBot="1" x14ac:dyDescent="0.3">
      <c r="A70" t="s">
        <v>36</v>
      </c>
      <c r="C70">
        <f>C67+C68+C69</f>
        <v>8458200</v>
      </c>
      <c r="E70" s="101" t="s">
        <v>10</v>
      </c>
      <c r="F70" s="108"/>
      <c r="G70" s="108"/>
      <c r="H70" s="103">
        <v>1000000</v>
      </c>
      <c r="I70" s="103">
        <v>1000000</v>
      </c>
      <c r="J70" s="103">
        <v>1000000</v>
      </c>
      <c r="K70" s="103">
        <v>1000000</v>
      </c>
      <c r="L70" s="103">
        <v>1000000</v>
      </c>
      <c r="M70" s="103">
        <v>1000000</v>
      </c>
      <c r="N70" s="103">
        <v>1000000</v>
      </c>
      <c r="O70" s="119">
        <v>25100000</v>
      </c>
      <c r="P70" s="118"/>
    </row>
    <row r="71" spans="1:16" ht="15.75" thickBot="1" x14ac:dyDescent="0.3">
      <c r="A71" s="1" t="s">
        <v>24</v>
      </c>
      <c r="B71">
        <v>4000000</v>
      </c>
      <c r="E71" s="106" t="s">
        <v>252</v>
      </c>
      <c r="F71" s="110"/>
      <c r="G71" s="110"/>
      <c r="H71" s="122">
        <f>H68+H69+H70</f>
        <v>33017000</v>
      </c>
      <c r="I71" s="122">
        <f t="shared" ref="I71:O71" si="27">I68+I69+I70</f>
        <v>33092000</v>
      </c>
      <c r="J71" s="122">
        <f t="shared" si="27"/>
        <v>33092000</v>
      </c>
      <c r="K71" s="122">
        <f t="shared" si="27"/>
        <v>33092000</v>
      </c>
      <c r="L71" s="122">
        <f t="shared" si="27"/>
        <v>33092000</v>
      </c>
      <c r="M71" s="122">
        <f t="shared" si="27"/>
        <v>33092000</v>
      </c>
      <c r="N71" s="122">
        <f t="shared" si="27"/>
        <v>33092000</v>
      </c>
      <c r="O71" s="122">
        <f t="shared" si="27"/>
        <v>57192000</v>
      </c>
      <c r="P71" s="120"/>
    </row>
    <row r="72" spans="1:16" ht="15.75" thickBot="1" x14ac:dyDescent="0.3">
      <c r="A72" s="1" t="s">
        <v>26</v>
      </c>
      <c r="B72" t="s">
        <v>116</v>
      </c>
      <c r="C72">
        <f>12*70000</f>
        <v>840000</v>
      </c>
      <c r="P72" s="121"/>
    </row>
    <row r="73" spans="1:16" x14ac:dyDescent="0.25">
      <c r="A73" s="1" t="s">
        <v>27</v>
      </c>
      <c r="B73" t="s">
        <v>117</v>
      </c>
      <c r="C73">
        <v>300000</v>
      </c>
    </row>
  </sheetData>
  <mergeCells count="1">
    <mergeCell ref="A36:B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abSelected="1" topLeftCell="A41" workbookViewId="0">
      <selection activeCell="B39" sqref="B39"/>
    </sheetView>
  </sheetViews>
  <sheetFormatPr defaultRowHeight="15" x14ac:dyDescent="0.25"/>
  <cols>
    <col min="1" max="1" width="25.85546875" customWidth="1"/>
    <col min="2" max="10" width="13.42578125" bestFit="1" customWidth="1"/>
    <col min="11" max="11" width="12.7109375" bestFit="1" customWidth="1"/>
    <col min="12" max="12" width="10.7109375" bestFit="1" customWidth="1"/>
    <col min="13" max="13" width="11.140625" bestFit="1" customWidth="1"/>
  </cols>
  <sheetData>
    <row r="1" spans="1:13" ht="18" customHeight="1" x14ac:dyDescent="0.25">
      <c r="A1" s="128" t="s">
        <v>241</v>
      </c>
      <c r="B1" s="128"/>
      <c r="C1" s="128"/>
      <c r="D1" s="128"/>
      <c r="E1" s="128"/>
      <c r="F1" s="128"/>
      <c r="G1" s="128"/>
      <c r="H1" s="128"/>
      <c r="I1" s="128"/>
      <c r="J1" s="128"/>
      <c r="K1" s="128"/>
      <c r="L1" s="128"/>
      <c r="M1" s="128"/>
    </row>
    <row r="2" spans="1:13" x14ac:dyDescent="0.25">
      <c r="A2" s="20"/>
      <c r="B2" s="21"/>
      <c r="C2" s="21"/>
      <c r="D2" s="22"/>
      <c r="E2" s="22"/>
      <c r="F2" s="22"/>
      <c r="G2" s="22"/>
      <c r="H2" s="22"/>
      <c r="I2" s="23"/>
      <c r="J2" s="24"/>
      <c r="K2" s="24"/>
      <c r="L2" s="24"/>
      <c r="M2" s="24"/>
    </row>
    <row r="3" spans="1:13" x14ac:dyDescent="0.25">
      <c r="A3" s="25" t="s">
        <v>70</v>
      </c>
      <c r="B3" s="25" t="s">
        <v>36</v>
      </c>
      <c r="C3" s="25" t="s">
        <v>79</v>
      </c>
      <c r="D3" s="26">
        <v>1</v>
      </c>
      <c r="E3" s="26">
        <f t="shared" ref="E3:M3" si="0">+D3+1</f>
        <v>2</v>
      </c>
      <c r="F3" s="26">
        <f t="shared" si="0"/>
        <v>3</v>
      </c>
      <c r="G3" s="26">
        <f t="shared" si="0"/>
        <v>4</v>
      </c>
      <c r="H3" s="26">
        <f t="shared" si="0"/>
        <v>5</v>
      </c>
      <c r="I3" s="26">
        <f t="shared" si="0"/>
        <v>6</v>
      </c>
      <c r="J3" s="26">
        <f t="shared" si="0"/>
        <v>7</v>
      </c>
      <c r="K3" s="26">
        <f t="shared" si="0"/>
        <v>8</v>
      </c>
      <c r="L3" s="26">
        <f t="shared" si="0"/>
        <v>9</v>
      </c>
      <c r="M3" s="26">
        <f t="shared" si="0"/>
        <v>10</v>
      </c>
    </row>
    <row r="4" spans="1:13" x14ac:dyDescent="0.25">
      <c r="A4" s="27" t="s">
        <v>80</v>
      </c>
      <c r="B4" s="28">
        <f>SUM(D4:M4)</f>
        <v>251175684</v>
      </c>
      <c r="C4" s="28">
        <f>NPV(4%,D4:M4)</f>
        <v>241515080.76923075</v>
      </c>
      <c r="D4" s="29"/>
      <c r="E4" s="30">
        <f>[1]ktgvetés!$L$16+[1]ktgvetés!$L$17+[1]ktgvetés!$L$18</f>
        <v>251175684</v>
      </c>
      <c r="F4" s="30"/>
      <c r="G4" s="30"/>
      <c r="H4" s="30"/>
      <c r="I4" s="31"/>
      <c r="J4" s="31"/>
      <c r="K4" s="31"/>
      <c r="L4" s="31"/>
      <c r="M4" s="31"/>
    </row>
    <row r="5" spans="1:13" x14ac:dyDescent="0.25">
      <c r="A5" s="27" t="s">
        <v>81</v>
      </c>
      <c r="B5" s="28">
        <f t="shared" ref="B5:B9" si="1">SUM(D5:M5)</f>
        <v>483584475</v>
      </c>
      <c r="C5" s="28">
        <f t="shared" ref="C5:C9" si="2">NPV(4%,D5:M5)</f>
        <v>401146421.4717617</v>
      </c>
      <c r="D5" s="30"/>
      <c r="E5" s="30"/>
      <c r="F5" s="30">
        <f>F6+F7+F8</f>
        <v>49553075</v>
      </c>
      <c r="G5" s="30">
        <f t="shared" ref="G5:M5" si="3">G6+G7+G8</f>
        <v>55390200</v>
      </c>
      <c r="H5" s="30">
        <f t="shared" si="3"/>
        <v>55390200</v>
      </c>
      <c r="I5" s="30">
        <f t="shared" si="3"/>
        <v>55390200</v>
      </c>
      <c r="J5" s="30">
        <f t="shared" si="3"/>
        <v>55390200</v>
      </c>
      <c r="K5" s="30">
        <f t="shared" si="3"/>
        <v>55390200</v>
      </c>
      <c r="L5" s="30">
        <f t="shared" si="3"/>
        <v>55390200</v>
      </c>
      <c r="M5" s="30">
        <f t="shared" si="3"/>
        <v>101690200</v>
      </c>
    </row>
    <row r="6" spans="1:13" x14ac:dyDescent="0.25">
      <c r="A6" s="32" t="s">
        <v>82</v>
      </c>
      <c r="B6" s="28">
        <f t="shared" si="1"/>
        <v>416274475</v>
      </c>
      <c r="C6" s="28">
        <f t="shared" si="2"/>
        <v>349915465.32993007</v>
      </c>
      <c r="D6" s="33"/>
      <c r="E6" s="33"/>
      <c r="F6" s="33">
        <f>Üzemeltetés!H27</f>
        <v>48983075</v>
      </c>
      <c r="G6" s="33">
        <f>Üzemeltetés!I27</f>
        <v>52470200</v>
      </c>
      <c r="H6" s="33">
        <f>Üzemeltetés!J27</f>
        <v>52470200</v>
      </c>
      <c r="I6" s="33">
        <f>Üzemeltetés!K27</f>
        <v>52470200</v>
      </c>
      <c r="J6" s="33">
        <f>Üzemeltetés!L27</f>
        <v>52470200</v>
      </c>
      <c r="K6" s="33">
        <f>Üzemeltetés!M27</f>
        <v>52470200</v>
      </c>
      <c r="L6" s="33">
        <f>Üzemeltetés!N27</f>
        <v>52470200</v>
      </c>
      <c r="M6" s="33">
        <f>Üzemeltetés!O27</f>
        <v>52470200</v>
      </c>
    </row>
    <row r="7" spans="1:13" x14ac:dyDescent="0.25">
      <c r="A7" s="32" t="s">
        <v>83</v>
      </c>
      <c r="B7" s="28">
        <f t="shared" si="1"/>
        <v>5610000</v>
      </c>
      <c r="C7" s="28">
        <f t="shared" si="2"/>
        <v>4703345.5407335181</v>
      </c>
      <c r="D7" s="33"/>
      <c r="E7" s="33"/>
      <c r="F7" s="33">
        <f>Üzemeltetés!H37</f>
        <v>570000.00000000012</v>
      </c>
      <c r="G7" s="33">
        <f>Üzemeltetés!I37</f>
        <v>720000</v>
      </c>
      <c r="H7" s="33">
        <f>Üzemeltetés!J37</f>
        <v>720000</v>
      </c>
      <c r="I7" s="33">
        <f>Üzemeltetés!K37</f>
        <v>720000</v>
      </c>
      <c r="J7" s="33">
        <f>Üzemeltetés!L37</f>
        <v>720000</v>
      </c>
      <c r="K7" s="33">
        <f>Üzemeltetés!M37</f>
        <v>720000</v>
      </c>
      <c r="L7" s="33">
        <f>Üzemeltetés!N37</f>
        <v>720000</v>
      </c>
      <c r="M7" s="33">
        <f>Üzemeltetés!O37</f>
        <v>720000</v>
      </c>
    </row>
    <row r="8" spans="1:13" x14ac:dyDescent="0.25">
      <c r="A8" s="32" t="s">
        <v>84</v>
      </c>
      <c r="B8" s="28">
        <f t="shared" si="1"/>
        <v>61700000</v>
      </c>
      <c r="C8" s="28">
        <f t="shared" si="2"/>
        <v>46527610.601098113</v>
      </c>
      <c r="D8" s="33"/>
      <c r="E8" s="33"/>
      <c r="F8" s="33">
        <f>Üzemeltetés!H45</f>
        <v>0</v>
      </c>
      <c r="G8" s="33">
        <f>Üzemeltetés!I45</f>
        <v>2200000</v>
      </c>
      <c r="H8" s="33">
        <f>Üzemeltetés!J45</f>
        <v>2200000</v>
      </c>
      <c r="I8" s="33">
        <f>Üzemeltetés!K45</f>
        <v>2200000</v>
      </c>
      <c r="J8" s="33">
        <f>Üzemeltetés!L45</f>
        <v>2200000</v>
      </c>
      <c r="K8" s="33">
        <f>Üzemeltetés!M45</f>
        <v>2200000</v>
      </c>
      <c r="L8" s="33">
        <f>Üzemeltetés!N45</f>
        <v>2200000</v>
      </c>
      <c r="M8" s="33">
        <f>Üzemeltetés!O45</f>
        <v>48500000</v>
      </c>
    </row>
    <row r="9" spans="1:13" x14ac:dyDescent="0.25">
      <c r="A9" s="34" t="s">
        <v>36</v>
      </c>
      <c r="B9" s="28">
        <f t="shared" si="1"/>
        <v>734760159</v>
      </c>
      <c r="C9" s="28">
        <f t="shared" si="2"/>
        <v>627232793.72284782</v>
      </c>
      <c r="D9" s="28"/>
      <c r="E9" s="28">
        <f>E4+E5</f>
        <v>251175684</v>
      </c>
      <c r="F9" s="28">
        <f t="shared" ref="F9:M9" si="4">F4+F5</f>
        <v>49553075</v>
      </c>
      <c r="G9" s="28">
        <f t="shared" si="4"/>
        <v>55390200</v>
      </c>
      <c r="H9" s="28">
        <f t="shared" si="4"/>
        <v>55390200</v>
      </c>
      <c r="I9" s="28">
        <f t="shared" si="4"/>
        <v>55390200</v>
      </c>
      <c r="J9" s="28">
        <f t="shared" si="4"/>
        <v>55390200</v>
      </c>
      <c r="K9" s="28">
        <f t="shared" si="4"/>
        <v>55390200</v>
      </c>
      <c r="L9" s="28">
        <f t="shared" si="4"/>
        <v>55390200</v>
      </c>
      <c r="M9" s="28">
        <f t="shared" si="4"/>
        <v>101690200</v>
      </c>
    </row>
    <row r="10" spans="1:13" x14ac:dyDescent="0.25">
      <c r="A10" s="35"/>
      <c r="B10" s="36"/>
      <c r="C10" s="36"/>
      <c r="D10" s="36"/>
      <c r="E10" s="36"/>
      <c r="F10" s="36"/>
      <c r="G10" s="36"/>
      <c r="H10" s="36"/>
      <c r="I10" s="36"/>
      <c r="J10" s="36"/>
      <c r="K10" s="36"/>
      <c r="L10" s="36"/>
      <c r="M10" s="36"/>
    </row>
    <row r="11" spans="1:13" x14ac:dyDescent="0.25">
      <c r="A11" s="37" t="s">
        <v>70</v>
      </c>
      <c r="B11" s="37" t="s">
        <v>36</v>
      </c>
      <c r="C11" s="37" t="s">
        <v>79</v>
      </c>
      <c r="D11" s="38">
        <v>1</v>
      </c>
      <c r="E11" s="38">
        <f t="shared" ref="E11:M11" si="5">+D11+1</f>
        <v>2</v>
      </c>
      <c r="F11" s="38">
        <f t="shared" si="5"/>
        <v>3</v>
      </c>
      <c r="G11" s="38">
        <f t="shared" si="5"/>
        <v>4</v>
      </c>
      <c r="H11" s="38">
        <f t="shared" si="5"/>
        <v>5</v>
      </c>
      <c r="I11" s="38">
        <f t="shared" si="5"/>
        <v>6</v>
      </c>
      <c r="J11" s="38">
        <f t="shared" si="5"/>
        <v>7</v>
      </c>
      <c r="K11" s="38">
        <f t="shared" si="5"/>
        <v>8</v>
      </c>
      <c r="L11" s="38">
        <f t="shared" si="5"/>
        <v>9</v>
      </c>
      <c r="M11" s="38">
        <f t="shared" si="5"/>
        <v>10</v>
      </c>
    </row>
    <row r="12" spans="1:13" ht="25.5" x14ac:dyDescent="0.25">
      <c r="A12" s="39" t="s">
        <v>85</v>
      </c>
      <c r="B12" s="28">
        <f>SUM(D12:M12)</f>
        <v>210120000</v>
      </c>
      <c r="C12" s="28">
        <f>NPV(4%,D12:M12)</f>
        <v>176835544.14057216</v>
      </c>
      <c r="D12" s="30"/>
      <c r="E12" s="30"/>
      <c r="F12" s="30">
        <f>Üzemeltetés!H6</f>
        <v>26265000</v>
      </c>
      <c r="G12" s="30">
        <f>Üzemeltetés!I6</f>
        <v>26265000</v>
      </c>
      <c r="H12" s="30">
        <f>Üzemeltetés!J6</f>
        <v>26265000</v>
      </c>
      <c r="I12" s="30">
        <f>Üzemeltetés!K6</f>
        <v>26265000</v>
      </c>
      <c r="J12" s="30">
        <f>Üzemeltetés!L6</f>
        <v>26265000</v>
      </c>
      <c r="K12" s="30">
        <f>Üzemeltetés!M6</f>
        <v>26265000</v>
      </c>
      <c r="L12" s="30">
        <f>Üzemeltetés!N6</f>
        <v>26265000</v>
      </c>
      <c r="M12" s="30">
        <f>Üzemeltetés!O6</f>
        <v>26265000</v>
      </c>
    </row>
    <row r="13" spans="1:13" ht="38.25" customHeight="1" x14ac:dyDescent="0.25">
      <c r="A13" s="39" t="s">
        <v>86</v>
      </c>
      <c r="B13" s="28">
        <f t="shared" ref="B13:B17" si="6">SUM(D13:M13)</f>
        <v>0</v>
      </c>
      <c r="C13" s="28">
        <f t="shared" ref="C13:C17" si="7">NPV(4%,D13:M13)</f>
        <v>0</v>
      </c>
      <c r="D13" s="30"/>
      <c r="E13" s="30"/>
      <c r="F13" s="30"/>
      <c r="G13" s="30"/>
      <c r="H13" s="30"/>
      <c r="I13" s="30"/>
      <c r="J13" s="30"/>
      <c r="K13" s="30"/>
      <c r="L13" s="30"/>
      <c r="M13" s="30"/>
    </row>
    <row r="14" spans="1:13" ht="38.25" x14ac:dyDescent="0.25">
      <c r="A14" s="39" t="s">
        <v>87</v>
      </c>
      <c r="B14" s="28">
        <f t="shared" si="6"/>
        <v>0</v>
      </c>
      <c r="C14" s="28">
        <f t="shared" si="7"/>
        <v>0</v>
      </c>
      <c r="D14" s="30"/>
      <c r="E14" s="30"/>
      <c r="F14" s="30"/>
      <c r="G14" s="30"/>
      <c r="H14" s="30"/>
      <c r="I14" s="30"/>
      <c r="J14" s="30"/>
      <c r="K14" s="30"/>
      <c r="L14" s="30"/>
      <c r="M14" s="30"/>
    </row>
    <row r="15" spans="1:13" ht="25.5" x14ac:dyDescent="0.25">
      <c r="A15" s="27" t="s">
        <v>88</v>
      </c>
      <c r="B15" s="28">
        <f t="shared" si="6"/>
        <v>0</v>
      </c>
      <c r="C15" s="28">
        <f t="shared" si="7"/>
        <v>0</v>
      </c>
      <c r="D15" s="30"/>
      <c r="E15" s="30"/>
      <c r="F15" s="30">
        <v>0</v>
      </c>
      <c r="G15" s="30">
        <v>0</v>
      </c>
      <c r="H15" s="30">
        <v>0</v>
      </c>
      <c r="I15" s="30">
        <v>0</v>
      </c>
      <c r="J15" s="30">
        <v>0</v>
      </c>
      <c r="K15" s="30">
        <v>0</v>
      </c>
      <c r="L15" s="30">
        <v>0</v>
      </c>
      <c r="M15" s="30"/>
    </row>
    <row r="16" spans="1:13" x14ac:dyDescent="0.25">
      <c r="A16" s="34" t="s">
        <v>89</v>
      </c>
      <c r="B16" s="28">
        <f t="shared" si="6"/>
        <v>210120000</v>
      </c>
      <c r="C16" s="28">
        <f t="shared" si="7"/>
        <v>176835544.14057216</v>
      </c>
      <c r="D16" s="28"/>
      <c r="E16" s="28"/>
      <c r="F16" s="28">
        <f>F12+F13+F14+F15</f>
        <v>26265000</v>
      </c>
      <c r="G16" s="28">
        <f t="shared" ref="G16:M16" si="8">G12+G13+G14+G15</f>
        <v>26265000</v>
      </c>
      <c r="H16" s="28">
        <f t="shared" si="8"/>
        <v>26265000</v>
      </c>
      <c r="I16" s="28">
        <f t="shared" si="8"/>
        <v>26265000</v>
      </c>
      <c r="J16" s="28">
        <f t="shared" si="8"/>
        <v>26265000</v>
      </c>
      <c r="K16" s="28">
        <f t="shared" si="8"/>
        <v>26265000</v>
      </c>
      <c r="L16" s="28">
        <f t="shared" si="8"/>
        <v>26265000</v>
      </c>
      <c r="M16" s="28">
        <f t="shared" si="8"/>
        <v>26265000</v>
      </c>
    </row>
    <row r="17" spans="1:13" ht="25.5" x14ac:dyDescent="0.25">
      <c r="A17" s="40" t="s">
        <v>90</v>
      </c>
      <c r="B17" s="28">
        <f t="shared" si="6"/>
        <v>-524640159</v>
      </c>
      <c r="C17" s="28">
        <f t="shared" si="7"/>
        <v>-457198616.6646052</v>
      </c>
      <c r="D17" s="28"/>
      <c r="E17" s="28">
        <f>E16-E9</f>
        <v>-251175684</v>
      </c>
      <c r="F17" s="28">
        <f t="shared" ref="F17:M17" si="9">F16-F9</f>
        <v>-23288075</v>
      </c>
      <c r="G17" s="28">
        <f t="shared" si="9"/>
        <v>-29125200</v>
      </c>
      <c r="H17" s="28">
        <f t="shared" si="9"/>
        <v>-29125200</v>
      </c>
      <c r="I17" s="28">
        <f t="shared" si="9"/>
        <v>-29125200</v>
      </c>
      <c r="J17" s="28">
        <f t="shared" si="9"/>
        <v>-29125200</v>
      </c>
      <c r="K17" s="28">
        <f t="shared" si="9"/>
        <v>-29125200</v>
      </c>
      <c r="L17" s="28">
        <f t="shared" si="9"/>
        <v>-29125200</v>
      </c>
      <c r="M17" s="28">
        <f t="shared" si="9"/>
        <v>-75425200</v>
      </c>
    </row>
    <row r="18" spans="1:13" ht="25.5" x14ac:dyDescent="0.25">
      <c r="A18" s="42" t="s">
        <v>91</v>
      </c>
      <c r="B18" s="43">
        <f>NPV(4%,D17:M17)</f>
        <v>-457198616.6646052</v>
      </c>
      <c r="C18" s="44"/>
      <c r="D18" s="21"/>
      <c r="E18" s="21"/>
      <c r="F18" s="21"/>
      <c r="G18" s="21"/>
      <c r="H18" s="45"/>
      <c r="I18" s="45"/>
      <c r="J18" s="45"/>
      <c r="K18" s="45"/>
      <c r="L18" s="45"/>
      <c r="M18" s="45"/>
    </row>
    <row r="19" spans="1:13" ht="25.5" x14ac:dyDescent="0.25">
      <c r="A19" s="42" t="s">
        <v>92</v>
      </c>
      <c r="B19" s="46" t="e">
        <f>IRR(D17:M17)</f>
        <v>#NUM!</v>
      </c>
      <c r="C19" s="21"/>
      <c r="D19" s="21"/>
      <c r="E19" s="21"/>
      <c r="F19" s="21"/>
      <c r="G19" s="21"/>
      <c r="H19" s="45"/>
      <c r="I19" s="45"/>
      <c r="J19" s="45"/>
      <c r="K19" s="45"/>
      <c r="L19" s="45"/>
      <c r="M19" s="45"/>
    </row>
    <row r="20" spans="1:13" x14ac:dyDescent="0.25">
      <c r="A20" s="47"/>
      <c r="B20" s="21"/>
      <c r="C20" s="21"/>
      <c r="D20" s="21"/>
      <c r="E20" s="21"/>
      <c r="F20" s="21"/>
      <c r="G20" s="21"/>
      <c r="H20" s="21"/>
      <c r="I20" s="21"/>
      <c r="J20" s="21"/>
      <c r="K20" s="21"/>
      <c r="L20" s="21"/>
      <c r="M20" s="21"/>
    </row>
    <row r="21" spans="1:13" ht="18" x14ac:dyDescent="0.25">
      <c r="A21" s="128" t="s">
        <v>242</v>
      </c>
      <c r="B21" s="128"/>
      <c r="C21" s="128"/>
      <c r="D21" s="128"/>
      <c r="E21" s="128"/>
      <c r="F21" s="128"/>
      <c r="G21" s="128"/>
      <c r="H21" s="128"/>
      <c r="I21" s="128"/>
      <c r="J21" s="128"/>
      <c r="K21" s="128"/>
      <c r="L21" s="128"/>
      <c r="M21" s="128"/>
    </row>
    <row r="22" spans="1:13" x14ac:dyDescent="0.25">
      <c r="A22" s="20"/>
      <c r="B22" s="21"/>
      <c r="C22" s="21"/>
      <c r="D22" s="22"/>
      <c r="E22" s="22"/>
      <c r="F22" s="22"/>
      <c r="G22" s="22"/>
      <c r="H22" s="22"/>
      <c r="I22" s="23"/>
      <c r="J22" s="24"/>
      <c r="K22" s="24"/>
      <c r="L22" s="24"/>
      <c r="M22" s="24"/>
    </row>
    <row r="23" spans="1:13" ht="18" customHeight="1" x14ac:dyDescent="0.25">
      <c r="A23" s="25" t="s">
        <v>70</v>
      </c>
      <c r="B23" s="25" t="s">
        <v>36</v>
      </c>
      <c r="C23" s="25" t="s">
        <v>79</v>
      </c>
      <c r="D23" s="26">
        <v>1</v>
      </c>
      <c r="E23" s="26">
        <f t="shared" ref="E23:M23" si="10">+D23+1</f>
        <v>2</v>
      </c>
      <c r="F23" s="26">
        <f t="shared" si="10"/>
        <v>3</v>
      </c>
      <c r="G23" s="26">
        <f t="shared" si="10"/>
        <v>4</v>
      </c>
      <c r="H23" s="26">
        <f t="shared" si="10"/>
        <v>5</v>
      </c>
      <c r="I23" s="26">
        <f t="shared" si="10"/>
        <v>6</v>
      </c>
      <c r="J23" s="26">
        <f t="shared" si="10"/>
        <v>7</v>
      </c>
      <c r="K23" s="26">
        <f t="shared" si="10"/>
        <v>8</v>
      </c>
      <c r="L23" s="26">
        <f t="shared" si="10"/>
        <v>9</v>
      </c>
      <c r="M23" s="26">
        <f t="shared" si="10"/>
        <v>10</v>
      </c>
    </row>
    <row r="24" spans="1:13" x14ac:dyDescent="0.25">
      <c r="A24" s="27" t="s">
        <v>80</v>
      </c>
      <c r="B24" s="28">
        <f>SUM(D24:M24)</f>
        <v>1015940835</v>
      </c>
      <c r="C24" s="28">
        <f>NPV(4%,D24:M24)</f>
        <v>937704922.30987096</v>
      </c>
      <c r="D24" s="41">
        <f>'Ütemezett költségvetés'!C38</f>
        <v>46394012.439024389</v>
      </c>
      <c r="E24" s="41">
        <f>'Ütemezett költségvetés'!D38</f>
        <v>876598082.85365856</v>
      </c>
      <c r="F24" s="41">
        <f>'Ütemezett költségvetés'!E38</f>
        <v>92948739.707317084</v>
      </c>
      <c r="G24" s="41"/>
      <c r="H24" s="41"/>
      <c r="I24" s="41"/>
      <c r="J24" s="41"/>
      <c r="K24" s="41"/>
      <c r="L24" s="41"/>
      <c r="M24" s="41"/>
    </row>
    <row r="25" spans="1:13" x14ac:dyDescent="0.25">
      <c r="A25" s="27" t="s">
        <v>81</v>
      </c>
      <c r="B25" s="28">
        <f t="shared" ref="B25:B29" si="11">SUM(D25:M25)</f>
        <v>483584475</v>
      </c>
      <c r="C25" s="28">
        <f t="shared" ref="C25:C29" si="12">NPV(4%,D25:M25)</f>
        <v>401146421.4717617</v>
      </c>
      <c r="D25" s="41"/>
      <c r="E25" s="41"/>
      <c r="F25" s="41">
        <f>F26+F27+F28</f>
        <v>49553075</v>
      </c>
      <c r="G25" s="41">
        <f t="shared" ref="G25:M25" si="13">G26+G27+G28</f>
        <v>55390200</v>
      </c>
      <c r="H25" s="41">
        <f t="shared" si="13"/>
        <v>55390200</v>
      </c>
      <c r="I25" s="41">
        <f t="shared" si="13"/>
        <v>55390200</v>
      </c>
      <c r="J25" s="41">
        <f t="shared" si="13"/>
        <v>55390200</v>
      </c>
      <c r="K25" s="41">
        <f t="shared" si="13"/>
        <v>55390200</v>
      </c>
      <c r="L25" s="41">
        <f t="shared" si="13"/>
        <v>55390200</v>
      </c>
      <c r="M25" s="41">
        <f t="shared" si="13"/>
        <v>101690200</v>
      </c>
    </row>
    <row r="26" spans="1:13" x14ac:dyDescent="0.25">
      <c r="A26" s="32" t="s">
        <v>82</v>
      </c>
      <c r="B26" s="28">
        <f t="shared" si="11"/>
        <v>416274475</v>
      </c>
      <c r="C26" s="28">
        <f t="shared" si="12"/>
        <v>349915465.32993007</v>
      </c>
      <c r="D26" s="41"/>
      <c r="E26" s="41"/>
      <c r="F26" s="41">
        <f>Üzemeltetés!H27</f>
        <v>48983075</v>
      </c>
      <c r="G26" s="41">
        <f>Üzemeltetés!I27</f>
        <v>52470200</v>
      </c>
      <c r="H26" s="41">
        <f>Üzemeltetés!J27</f>
        <v>52470200</v>
      </c>
      <c r="I26" s="41">
        <f>Üzemeltetés!K27</f>
        <v>52470200</v>
      </c>
      <c r="J26" s="41">
        <f>Üzemeltetés!L27</f>
        <v>52470200</v>
      </c>
      <c r="K26" s="41">
        <f>Üzemeltetés!M27</f>
        <v>52470200</v>
      </c>
      <c r="L26" s="41">
        <f>Üzemeltetés!N27</f>
        <v>52470200</v>
      </c>
      <c r="M26" s="41">
        <f>Üzemeltetés!O27</f>
        <v>52470200</v>
      </c>
    </row>
    <row r="27" spans="1:13" x14ac:dyDescent="0.25">
      <c r="A27" s="32" t="s">
        <v>83</v>
      </c>
      <c r="B27" s="28">
        <f t="shared" si="11"/>
        <v>5610000</v>
      </c>
      <c r="C27" s="28">
        <f t="shared" si="12"/>
        <v>4703345.5407335181</v>
      </c>
      <c r="D27" s="41"/>
      <c r="E27" s="41"/>
      <c r="F27" s="41">
        <f>Üzemeltetés!H37</f>
        <v>570000.00000000012</v>
      </c>
      <c r="G27" s="41">
        <f>Üzemeltetés!I37</f>
        <v>720000</v>
      </c>
      <c r="H27" s="41">
        <f>Üzemeltetés!J37</f>
        <v>720000</v>
      </c>
      <c r="I27" s="41">
        <f>Üzemeltetés!K37</f>
        <v>720000</v>
      </c>
      <c r="J27" s="41">
        <f>Üzemeltetés!L37</f>
        <v>720000</v>
      </c>
      <c r="K27" s="41">
        <f>Üzemeltetés!M37</f>
        <v>720000</v>
      </c>
      <c r="L27" s="41">
        <f>Üzemeltetés!N37</f>
        <v>720000</v>
      </c>
      <c r="M27" s="41">
        <f>Üzemeltetés!O37</f>
        <v>720000</v>
      </c>
    </row>
    <row r="28" spans="1:13" x14ac:dyDescent="0.25">
      <c r="A28" s="32" t="s">
        <v>84</v>
      </c>
      <c r="B28" s="28">
        <f t="shared" si="11"/>
        <v>61700000</v>
      </c>
      <c r="C28" s="28">
        <f t="shared" si="12"/>
        <v>46527610.601098113</v>
      </c>
      <c r="D28" s="41"/>
      <c r="E28" s="41"/>
      <c r="F28" s="41">
        <f>Üzemeltetés!H45</f>
        <v>0</v>
      </c>
      <c r="G28" s="41">
        <f>Üzemeltetés!I45</f>
        <v>2200000</v>
      </c>
      <c r="H28" s="41">
        <f>Üzemeltetés!J45</f>
        <v>2200000</v>
      </c>
      <c r="I28" s="41">
        <f>Üzemeltetés!K45</f>
        <v>2200000</v>
      </c>
      <c r="J28" s="41">
        <f>Üzemeltetés!L45</f>
        <v>2200000</v>
      </c>
      <c r="K28" s="41">
        <f>Üzemeltetés!M45</f>
        <v>2200000</v>
      </c>
      <c r="L28" s="41">
        <f>Üzemeltetés!N45</f>
        <v>2200000</v>
      </c>
      <c r="M28" s="41">
        <f>Üzemeltetés!O45</f>
        <v>48500000</v>
      </c>
    </row>
    <row r="29" spans="1:13" x14ac:dyDescent="0.25">
      <c r="A29" s="34" t="s">
        <v>36</v>
      </c>
      <c r="B29" s="28">
        <f t="shared" si="11"/>
        <v>1499525310</v>
      </c>
      <c r="C29" s="28">
        <f t="shared" si="12"/>
        <v>1308587338.6114256</v>
      </c>
      <c r="D29" s="41">
        <f>D24+D25</f>
        <v>46394012.439024389</v>
      </c>
      <c r="E29" s="41">
        <f t="shared" ref="E29:M29" si="14">E24+E25</f>
        <v>876598082.85365856</v>
      </c>
      <c r="F29" s="41">
        <f t="shared" si="14"/>
        <v>142501814.70731708</v>
      </c>
      <c r="G29" s="41">
        <f t="shared" si="14"/>
        <v>55390200</v>
      </c>
      <c r="H29" s="41">
        <f t="shared" si="14"/>
        <v>55390200</v>
      </c>
      <c r="I29" s="41">
        <f t="shared" si="14"/>
        <v>55390200</v>
      </c>
      <c r="J29" s="41">
        <f t="shared" si="14"/>
        <v>55390200</v>
      </c>
      <c r="K29" s="41">
        <f t="shared" si="14"/>
        <v>55390200</v>
      </c>
      <c r="L29" s="41">
        <f t="shared" si="14"/>
        <v>55390200</v>
      </c>
      <c r="M29" s="41">
        <f t="shared" si="14"/>
        <v>101690200</v>
      </c>
    </row>
    <row r="30" spans="1:13" x14ac:dyDescent="0.25">
      <c r="A30" s="35"/>
      <c r="B30" s="85"/>
      <c r="C30" s="85"/>
      <c r="D30" s="85"/>
      <c r="E30" s="85"/>
      <c r="F30" s="85"/>
      <c r="G30" s="85"/>
      <c r="H30" s="85"/>
      <c r="I30" s="85"/>
      <c r="J30" s="85"/>
      <c r="K30" s="85"/>
      <c r="L30" s="85"/>
      <c r="M30" s="85"/>
    </row>
    <row r="31" spans="1:13" x14ac:dyDescent="0.25">
      <c r="A31" s="37" t="s">
        <v>70</v>
      </c>
      <c r="B31" s="86" t="s">
        <v>36</v>
      </c>
      <c r="C31" s="86" t="s">
        <v>79</v>
      </c>
      <c r="D31" s="87">
        <v>1</v>
      </c>
      <c r="E31" s="87">
        <f t="shared" ref="E31:M31" si="15">+D31+1</f>
        <v>2</v>
      </c>
      <c r="F31" s="87">
        <f t="shared" si="15"/>
        <v>3</v>
      </c>
      <c r="G31" s="87">
        <f t="shared" si="15"/>
        <v>4</v>
      </c>
      <c r="H31" s="87">
        <f t="shared" si="15"/>
        <v>5</v>
      </c>
      <c r="I31" s="87">
        <f t="shared" si="15"/>
        <v>6</v>
      </c>
      <c r="J31" s="87">
        <f t="shared" si="15"/>
        <v>7</v>
      </c>
      <c r="K31" s="87">
        <f t="shared" si="15"/>
        <v>8</v>
      </c>
      <c r="L31" s="87">
        <f t="shared" si="15"/>
        <v>9</v>
      </c>
      <c r="M31" s="87">
        <f t="shared" si="15"/>
        <v>10</v>
      </c>
    </row>
    <row r="32" spans="1:13" ht="25.5" x14ac:dyDescent="0.25">
      <c r="A32" s="39" t="s">
        <v>85</v>
      </c>
      <c r="B32" s="88">
        <f>SUM(D32:M32)</f>
        <v>272481552</v>
      </c>
      <c r="C32" s="89">
        <f>NPV(4%,D32:M32)</f>
        <v>229124106.64411741</v>
      </c>
      <c r="D32" s="89"/>
      <c r="E32" s="89"/>
      <c r="F32" s="89">
        <f>Üzemeltetés!H6+Üzemeltetés!H8</f>
        <v>32641392</v>
      </c>
      <c r="G32" s="89">
        <f>Üzemeltetés!I6+Üzemeltetés!I8</f>
        <v>34262880</v>
      </c>
      <c r="H32" s="89">
        <f>Üzemeltetés!J6+Üzemeltetés!J8</f>
        <v>34262880</v>
      </c>
      <c r="I32" s="89">
        <f>Üzemeltetés!K6+Üzemeltetés!K8</f>
        <v>34262880</v>
      </c>
      <c r="J32" s="89">
        <f>Üzemeltetés!L6+Üzemeltetés!L8</f>
        <v>34262880</v>
      </c>
      <c r="K32" s="89">
        <f>Üzemeltetés!M6+Üzemeltetés!M8</f>
        <v>34262880</v>
      </c>
      <c r="L32" s="89">
        <f>Üzemeltetés!N6+Üzemeltetés!N8</f>
        <v>34262880</v>
      </c>
      <c r="M32" s="89">
        <f>Üzemeltetés!O6+Üzemeltetés!O8</f>
        <v>34262880</v>
      </c>
    </row>
    <row r="33" spans="1:13" ht="38.25" x14ac:dyDescent="0.25">
      <c r="A33" s="39" t="s">
        <v>86</v>
      </c>
      <c r="B33" s="88">
        <f t="shared" ref="B33:B36" si="16">SUM(D33:M33)</f>
        <v>175138000</v>
      </c>
      <c r="C33" s="89">
        <f t="shared" ref="C33:C36" si="17">NPV(4%,D33:M33)</f>
        <v>146949936.73208338</v>
      </c>
      <c r="D33" s="89"/>
      <c r="E33" s="89"/>
      <c r="F33" s="89">
        <f>Üzemeltetés!H7</f>
        <v>18646000</v>
      </c>
      <c r="G33" s="89">
        <f>Üzemeltetés!I7</f>
        <v>22356000</v>
      </c>
      <c r="H33" s="89">
        <f>Üzemeltetés!J7</f>
        <v>22356000</v>
      </c>
      <c r="I33" s="89">
        <f>Üzemeltetés!K7</f>
        <v>22356000</v>
      </c>
      <c r="J33" s="89">
        <f>Üzemeltetés!L7</f>
        <v>22356000</v>
      </c>
      <c r="K33" s="89">
        <f>Üzemeltetés!M7</f>
        <v>22356000</v>
      </c>
      <c r="L33" s="89">
        <f>Üzemeltetés!N7</f>
        <v>22356000</v>
      </c>
      <c r="M33" s="89">
        <f>Üzemeltetés!O7</f>
        <v>22356000</v>
      </c>
    </row>
    <row r="34" spans="1:13" ht="38.25" x14ac:dyDescent="0.25">
      <c r="A34" s="39" t="s">
        <v>87</v>
      </c>
      <c r="B34" s="88"/>
      <c r="C34" s="89"/>
      <c r="D34" s="89"/>
      <c r="E34" s="89"/>
      <c r="F34" s="89"/>
      <c r="G34" s="89"/>
      <c r="H34" s="89"/>
      <c r="I34" s="89"/>
      <c r="J34" s="89"/>
      <c r="K34" s="89"/>
      <c r="L34" s="89"/>
      <c r="M34" s="89"/>
    </row>
    <row r="35" spans="1:13" ht="25.5" x14ac:dyDescent="0.25">
      <c r="A35" s="27" t="s">
        <v>88</v>
      </c>
      <c r="B35" s="88"/>
      <c r="C35" s="89"/>
      <c r="D35" s="89"/>
      <c r="E35" s="89"/>
      <c r="F35" s="89"/>
      <c r="G35" s="89"/>
      <c r="H35" s="89"/>
      <c r="I35" s="89"/>
      <c r="J35" s="89"/>
      <c r="K35" s="89"/>
      <c r="L35" s="89"/>
      <c r="M35" s="89"/>
    </row>
    <row r="36" spans="1:13" x14ac:dyDescent="0.25">
      <c r="A36" s="34" t="s">
        <v>89</v>
      </c>
      <c r="B36" s="88">
        <f t="shared" si="16"/>
        <v>447619552</v>
      </c>
      <c r="C36" s="89">
        <f t="shared" si="17"/>
        <v>376074043.3762008</v>
      </c>
      <c r="D36" s="89"/>
      <c r="E36" s="89"/>
      <c r="F36" s="89">
        <f>F32+F33+F34+F35</f>
        <v>51287392</v>
      </c>
      <c r="G36" s="89">
        <f t="shared" ref="G36:M36" si="18">G32+G33+G34+G35</f>
        <v>56618880</v>
      </c>
      <c r="H36" s="89">
        <f t="shared" si="18"/>
        <v>56618880</v>
      </c>
      <c r="I36" s="89">
        <f t="shared" si="18"/>
        <v>56618880</v>
      </c>
      <c r="J36" s="89">
        <f t="shared" si="18"/>
        <v>56618880</v>
      </c>
      <c r="K36" s="89">
        <f t="shared" si="18"/>
        <v>56618880</v>
      </c>
      <c r="L36" s="89">
        <f t="shared" si="18"/>
        <v>56618880</v>
      </c>
      <c r="M36" s="89">
        <f t="shared" si="18"/>
        <v>56618880</v>
      </c>
    </row>
    <row r="37" spans="1:13" ht="25.5" x14ac:dyDescent="0.25">
      <c r="A37" s="40" t="s">
        <v>90</v>
      </c>
      <c r="B37" s="88">
        <f>B36-B29</f>
        <v>-1051905758</v>
      </c>
      <c r="C37" s="89">
        <f t="shared" ref="C37" si="19">C36-C29</f>
        <v>-932513295.23522484</v>
      </c>
      <c r="D37" s="89">
        <f>D36-D29</f>
        <v>-46394012.439024389</v>
      </c>
      <c r="E37" s="89">
        <f t="shared" ref="E37:M37" si="20">E36-E29</f>
        <v>-876598082.85365856</v>
      </c>
      <c r="F37" s="89">
        <f t="shared" si="20"/>
        <v>-91214422.707317084</v>
      </c>
      <c r="G37" s="89">
        <f t="shared" si="20"/>
        <v>1228680</v>
      </c>
      <c r="H37" s="89">
        <f t="shared" si="20"/>
        <v>1228680</v>
      </c>
      <c r="I37" s="89">
        <f t="shared" si="20"/>
        <v>1228680</v>
      </c>
      <c r="J37" s="89">
        <f t="shared" si="20"/>
        <v>1228680</v>
      </c>
      <c r="K37" s="89">
        <f t="shared" si="20"/>
        <v>1228680</v>
      </c>
      <c r="L37" s="89">
        <f t="shared" si="20"/>
        <v>1228680</v>
      </c>
      <c r="M37" s="89">
        <f t="shared" si="20"/>
        <v>-45071320</v>
      </c>
    </row>
    <row r="38" spans="1:13" ht="25.5" x14ac:dyDescent="0.25">
      <c r="A38" s="42" t="s">
        <v>91</v>
      </c>
      <c r="B38" s="89">
        <f>NPV(4%,D37:M37)</f>
        <v>-960885745.25325203</v>
      </c>
      <c r="C38" s="90"/>
      <c r="D38" s="91"/>
      <c r="E38" s="91"/>
      <c r="F38" s="91"/>
      <c r="G38" s="91"/>
      <c r="H38" s="92"/>
      <c r="I38" s="92"/>
      <c r="J38" s="92"/>
      <c r="K38" s="92"/>
      <c r="L38" s="92"/>
      <c r="M38" s="92"/>
    </row>
    <row r="39" spans="1:13" ht="25.5" customHeight="1" x14ac:dyDescent="0.25">
      <c r="A39" s="42" t="s">
        <v>92</v>
      </c>
      <c r="B39" s="93" t="e">
        <f>IRR(D37:M37)</f>
        <v>#NUM!</v>
      </c>
      <c r="C39" s="91"/>
      <c r="D39" s="91"/>
      <c r="E39" s="91"/>
      <c r="F39" s="91"/>
      <c r="G39" s="91"/>
      <c r="H39" s="92"/>
      <c r="I39" s="92"/>
      <c r="J39" s="92"/>
      <c r="K39" s="92"/>
      <c r="L39" s="92"/>
      <c r="M39" s="92"/>
    </row>
    <row r="40" spans="1:13" x14ac:dyDescent="0.25">
      <c r="A40" s="47"/>
      <c r="B40" s="21"/>
      <c r="C40" s="21"/>
      <c r="D40" s="21"/>
      <c r="E40" s="21"/>
      <c r="F40" s="21"/>
      <c r="G40" s="21"/>
      <c r="H40" s="21"/>
      <c r="I40" s="21"/>
      <c r="J40" s="21"/>
      <c r="K40" s="21"/>
      <c r="L40" s="21"/>
      <c r="M40" s="21"/>
    </row>
    <row r="41" spans="1:13" x14ac:dyDescent="0.25">
      <c r="A41" s="21"/>
      <c r="B41" s="21"/>
      <c r="C41" s="21"/>
      <c r="D41" s="22"/>
      <c r="E41" s="21"/>
      <c r="F41" s="21"/>
      <c r="G41" s="21"/>
      <c r="H41" s="21"/>
      <c r="I41" s="21"/>
      <c r="J41" s="21"/>
      <c r="K41" s="21"/>
      <c r="L41" s="21"/>
      <c r="M41" s="21"/>
    </row>
    <row r="42" spans="1:13" ht="18" x14ac:dyDescent="0.25">
      <c r="A42" s="128" t="s">
        <v>93</v>
      </c>
      <c r="B42" s="128"/>
      <c r="C42" s="128"/>
      <c r="D42" s="128"/>
      <c r="E42" s="128"/>
      <c r="F42" s="128"/>
      <c r="G42" s="128"/>
      <c r="H42" s="128"/>
      <c r="I42" s="128"/>
      <c r="J42" s="128"/>
      <c r="K42" s="128"/>
    </row>
    <row r="43" spans="1:13" ht="38.25" x14ac:dyDescent="0.25">
      <c r="A43" s="48" t="s">
        <v>94</v>
      </c>
      <c r="B43" s="21"/>
      <c r="C43" s="22"/>
      <c r="D43" s="22"/>
      <c r="E43" s="22"/>
      <c r="F43" s="22"/>
      <c r="G43" s="22"/>
      <c r="H43" s="23"/>
      <c r="I43" s="24"/>
      <c r="J43" s="24"/>
      <c r="K43" s="24"/>
    </row>
    <row r="44" spans="1:13" x14ac:dyDescent="0.25">
      <c r="A44" s="25" t="s">
        <v>70</v>
      </c>
      <c r="B44" s="26">
        <v>1</v>
      </c>
      <c r="C44" s="26">
        <f t="shared" ref="C44:K44" si="21">+B44+1</f>
        <v>2</v>
      </c>
      <c r="D44" s="26">
        <f t="shared" si="21"/>
        <v>3</v>
      </c>
      <c r="E44" s="26">
        <f t="shared" si="21"/>
        <v>4</v>
      </c>
      <c r="F44" s="26">
        <f t="shared" si="21"/>
        <v>5</v>
      </c>
      <c r="G44" s="26">
        <f t="shared" si="21"/>
        <v>6</v>
      </c>
      <c r="H44" s="26">
        <f t="shared" si="21"/>
        <v>7</v>
      </c>
      <c r="I44" s="26">
        <f t="shared" si="21"/>
        <v>8</v>
      </c>
      <c r="J44" s="26">
        <f t="shared" si="21"/>
        <v>9</v>
      </c>
      <c r="K44" s="26">
        <f t="shared" si="21"/>
        <v>10</v>
      </c>
    </row>
    <row r="45" spans="1:13" ht="25.5" x14ac:dyDescent="0.25">
      <c r="A45" s="49" t="s">
        <v>95</v>
      </c>
      <c r="B45" s="29">
        <f>'Ütemezett költségvetés'!C38</f>
        <v>46394012.439024389</v>
      </c>
      <c r="C45" s="29">
        <f>'Ütemezett költségvetés'!D38</f>
        <v>876598082.85365856</v>
      </c>
      <c r="D45" s="29">
        <f>'Ütemezett költségvetés'!E38</f>
        <v>92948739.707317084</v>
      </c>
      <c r="E45" s="30"/>
      <c r="F45" s="30"/>
      <c r="G45" s="30"/>
      <c r="H45" s="30"/>
      <c r="I45" s="30"/>
      <c r="J45" s="30"/>
      <c r="K45" s="30"/>
    </row>
    <row r="46" spans="1:13" ht="25.5" x14ac:dyDescent="0.25">
      <c r="A46" s="49" t="s">
        <v>96</v>
      </c>
      <c r="B46" s="30"/>
      <c r="C46" s="30"/>
      <c r="D46" s="30">
        <f t="shared" ref="D46:K46" si="22">F25</f>
        <v>49553075</v>
      </c>
      <c r="E46" s="30">
        <f t="shared" si="22"/>
        <v>55390200</v>
      </c>
      <c r="F46" s="30">
        <f t="shared" si="22"/>
        <v>55390200</v>
      </c>
      <c r="G46" s="30">
        <f t="shared" si="22"/>
        <v>55390200</v>
      </c>
      <c r="H46" s="30">
        <f t="shared" si="22"/>
        <v>55390200</v>
      </c>
      <c r="I46" s="30">
        <f t="shared" si="22"/>
        <v>55390200</v>
      </c>
      <c r="J46" s="30">
        <f t="shared" si="22"/>
        <v>55390200</v>
      </c>
      <c r="K46" s="30">
        <f t="shared" si="22"/>
        <v>101690200</v>
      </c>
    </row>
    <row r="47" spans="1:13" ht="25.5" x14ac:dyDescent="0.25">
      <c r="A47" s="49" t="s">
        <v>97</v>
      </c>
      <c r="B47" s="30"/>
      <c r="C47" s="30"/>
      <c r="D47" s="30"/>
      <c r="E47" s="30"/>
      <c r="F47" s="30"/>
      <c r="G47" s="30"/>
      <c r="H47" s="30"/>
      <c r="I47" s="30"/>
      <c r="J47" s="30"/>
      <c r="K47" s="30"/>
    </row>
    <row r="48" spans="1:13" ht="38.25" x14ac:dyDescent="0.25">
      <c r="A48" s="49" t="s">
        <v>98</v>
      </c>
      <c r="B48" s="30"/>
      <c r="C48" s="30"/>
      <c r="D48" s="30"/>
      <c r="E48" s="30"/>
      <c r="F48" s="30"/>
      <c r="G48" s="30"/>
      <c r="H48" s="30"/>
      <c r="I48" s="30"/>
      <c r="J48" s="30"/>
      <c r="K48" s="30"/>
    </row>
    <row r="49" spans="1:11" ht="25.5" x14ac:dyDescent="0.25">
      <c r="A49" s="49" t="s">
        <v>99</v>
      </c>
      <c r="B49" s="30">
        <f>B45+B46+B47+B48</f>
        <v>46394012.439024389</v>
      </c>
      <c r="C49" s="30">
        <f t="shared" ref="C49:K49" si="23">C45+C46+C47+C48</f>
        <v>876598082.85365856</v>
      </c>
      <c r="D49" s="30">
        <f t="shared" si="23"/>
        <v>142501814.70731708</v>
      </c>
      <c r="E49" s="30">
        <f t="shared" si="23"/>
        <v>55390200</v>
      </c>
      <c r="F49" s="30">
        <f t="shared" si="23"/>
        <v>55390200</v>
      </c>
      <c r="G49" s="30">
        <f t="shared" si="23"/>
        <v>55390200</v>
      </c>
      <c r="H49" s="30">
        <f t="shared" si="23"/>
        <v>55390200</v>
      </c>
      <c r="I49" s="30">
        <f t="shared" si="23"/>
        <v>55390200</v>
      </c>
      <c r="J49" s="30">
        <f t="shared" si="23"/>
        <v>55390200</v>
      </c>
      <c r="K49" s="30">
        <f t="shared" si="23"/>
        <v>101690200</v>
      </c>
    </row>
    <row r="50" spans="1:11" x14ac:dyDescent="0.25">
      <c r="A50" s="49" t="s">
        <v>100</v>
      </c>
      <c r="B50" s="30">
        <f>D36</f>
        <v>0</v>
      </c>
      <c r="C50" s="30">
        <f t="shared" ref="C50:K50" si="24">E36</f>
        <v>0</v>
      </c>
      <c r="D50" s="30">
        <f t="shared" si="24"/>
        <v>51287392</v>
      </c>
      <c r="E50" s="30">
        <f t="shared" si="24"/>
        <v>56618880</v>
      </c>
      <c r="F50" s="30">
        <f t="shared" si="24"/>
        <v>56618880</v>
      </c>
      <c r="G50" s="30">
        <f t="shared" si="24"/>
        <v>56618880</v>
      </c>
      <c r="H50" s="30">
        <f t="shared" si="24"/>
        <v>56618880</v>
      </c>
      <c r="I50" s="30">
        <f t="shared" si="24"/>
        <v>56618880</v>
      </c>
      <c r="J50" s="30">
        <f t="shared" si="24"/>
        <v>56618880</v>
      </c>
      <c r="K50" s="30">
        <f t="shared" si="24"/>
        <v>56618880</v>
      </c>
    </row>
    <row r="51" spans="1:11" x14ac:dyDescent="0.25">
      <c r="A51" s="49" t="s">
        <v>101</v>
      </c>
      <c r="B51" s="30"/>
      <c r="C51" s="30"/>
      <c r="D51" s="30"/>
      <c r="E51" s="30"/>
      <c r="F51" s="30"/>
      <c r="G51" s="30"/>
      <c r="H51" s="30"/>
      <c r="I51" s="30"/>
      <c r="J51" s="30"/>
      <c r="K51" s="30"/>
    </row>
    <row r="52" spans="1:11" x14ac:dyDescent="0.25">
      <c r="A52" s="49" t="s">
        <v>102</v>
      </c>
      <c r="B52" s="30">
        <f>B45</f>
        <v>46394012.439024389</v>
      </c>
      <c r="C52" s="30">
        <f>C45</f>
        <v>876598082.85365856</v>
      </c>
      <c r="D52" s="30">
        <f>D45-D54</f>
        <v>63105503.707317084</v>
      </c>
      <c r="E52" s="30"/>
      <c r="F52" s="30"/>
      <c r="G52" s="31"/>
      <c r="H52" s="31"/>
      <c r="I52" s="31"/>
      <c r="J52" s="31"/>
      <c r="K52" s="31"/>
    </row>
    <row r="53" spans="1:11" x14ac:dyDescent="0.25">
      <c r="A53" s="49" t="s">
        <v>103</v>
      </c>
      <c r="B53" s="30">
        <f>B54+B55</f>
        <v>0</v>
      </c>
      <c r="C53" s="30">
        <f t="shared" ref="C53:K53" si="25">C54+C55</f>
        <v>0</v>
      </c>
      <c r="D53" s="30">
        <f t="shared" si="25"/>
        <v>29843236</v>
      </c>
      <c r="E53" s="30">
        <f t="shared" si="25"/>
        <v>0</v>
      </c>
      <c r="F53" s="30">
        <f t="shared" si="25"/>
        <v>0</v>
      </c>
      <c r="G53" s="30">
        <f t="shared" si="25"/>
        <v>0</v>
      </c>
      <c r="H53" s="30">
        <f t="shared" si="25"/>
        <v>0</v>
      </c>
      <c r="I53" s="30">
        <f t="shared" si="25"/>
        <v>0</v>
      </c>
      <c r="J53" s="30">
        <f t="shared" si="25"/>
        <v>0</v>
      </c>
      <c r="K53" s="30">
        <f t="shared" si="25"/>
        <v>0</v>
      </c>
    </row>
    <row r="54" spans="1:11" ht="25.5" x14ac:dyDescent="0.25">
      <c r="A54" s="49" t="s">
        <v>104</v>
      </c>
      <c r="B54" s="30"/>
      <c r="C54" s="30"/>
      <c r="D54" s="30">
        <f>[1]ktgvetés!$M$45</f>
        <v>29843236</v>
      </c>
      <c r="E54" s="30"/>
      <c r="F54" s="30"/>
      <c r="G54" s="30"/>
      <c r="H54" s="30"/>
      <c r="I54" s="30"/>
      <c r="J54" s="30"/>
      <c r="K54" s="30"/>
    </row>
    <row r="55" spans="1:11" x14ac:dyDescent="0.25">
      <c r="A55" s="49" t="s">
        <v>105</v>
      </c>
      <c r="B55" s="30">
        <f>B56+B57</f>
        <v>0</v>
      </c>
      <c r="C55" s="30">
        <f t="shared" ref="C55:K55" si="26">C56+C57</f>
        <v>0</v>
      </c>
      <c r="D55" s="30">
        <f t="shared" si="26"/>
        <v>0</v>
      </c>
      <c r="E55" s="30">
        <f t="shared" si="26"/>
        <v>0</v>
      </c>
      <c r="F55" s="30">
        <f t="shared" si="26"/>
        <v>0</v>
      </c>
      <c r="G55" s="30">
        <f t="shared" si="26"/>
        <v>0</v>
      </c>
      <c r="H55" s="30">
        <f t="shared" si="26"/>
        <v>0</v>
      </c>
      <c r="I55" s="30">
        <f t="shared" si="26"/>
        <v>0</v>
      </c>
      <c r="J55" s="30">
        <f t="shared" si="26"/>
        <v>0</v>
      </c>
      <c r="K55" s="30">
        <f t="shared" si="26"/>
        <v>0</v>
      </c>
    </row>
    <row r="56" spans="1:11" x14ac:dyDescent="0.25">
      <c r="A56" s="49" t="s">
        <v>106</v>
      </c>
      <c r="B56" s="30"/>
      <c r="C56" s="30"/>
      <c r="D56" s="30"/>
      <c r="E56" s="30"/>
      <c r="F56" s="30"/>
      <c r="G56" s="30"/>
      <c r="H56" s="30"/>
      <c r="I56" s="30"/>
      <c r="J56" s="30"/>
      <c r="K56" s="30"/>
    </row>
    <row r="57" spans="1:11" x14ac:dyDescent="0.25">
      <c r="A57" s="49" t="s">
        <v>107</v>
      </c>
      <c r="B57" s="30"/>
      <c r="C57" s="30"/>
      <c r="D57" s="30"/>
      <c r="E57" s="30"/>
      <c r="F57" s="30"/>
      <c r="G57" s="30"/>
      <c r="H57" s="30"/>
      <c r="I57" s="30"/>
      <c r="J57" s="30"/>
      <c r="K57" s="30"/>
    </row>
    <row r="58" spans="1:11" ht="25.5" x14ac:dyDescent="0.25">
      <c r="A58" s="49" t="s">
        <v>108</v>
      </c>
      <c r="B58" s="30"/>
      <c r="C58" s="30"/>
      <c r="D58" s="30"/>
      <c r="E58" s="30"/>
      <c r="F58" s="30"/>
      <c r="G58" s="30"/>
      <c r="H58" s="30"/>
      <c r="I58" s="30"/>
      <c r="J58" s="30"/>
      <c r="K58" s="30">
        <f>Üzemeltetés!O58</f>
        <v>379751937.04713106</v>
      </c>
    </row>
    <row r="59" spans="1:11" ht="25.5" x14ac:dyDescent="0.25">
      <c r="A59" s="49" t="s">
        <v>109</v>
      </c>
      <c r="B59" s="30">
        <f>B50+B51+B52+B53+B58</f>
        <v>46394012.439024389</v>
      </c>
      <c r="C59" s="30">
        <f t="shared" ref="C59:K59" si="27">C50+C51+C52+C53+C58</f>
        <v>876598082.85365856</v>
      </c>
      <c r="D59" s="30">
        <f t="shared" si="27"/>
        <v>144236131.70731708</v>
      </c>
      <c r="E59" s="30">
        <f t="shared" si="27"/>
        <v>56618880</v>
      </c>
      <c r="F59" s="30">
        <f t="shared" si="27"/>
        <v>56618880</v>
      </c>
      <c r="G59" s="30">
        <f t="shared" si="27"/>
        <v>56618880</v>
      </c>
      <c r="H59" s="30">
        <f t="shared" si="27"/>
        <v>56618880</v>
      </c>
      <c r="I59" s="30">
        <f t="shared" si="27"/>
        <v>56618880</v>
      </c>
      <c r="J59" s="30">
        <f t="shared" si="27"/>
        <v>56618880</v>
      </c>
      <c r="K59" s="30">
        <f t="shared" si="27"/>
        <v>436370817.04713106</v>
      </c>
    </row>
    <row r="60" spans="1:11" ht="25.5" x14ac:dyDescent="0.25">
      <c r="A60" s="49" t="s">
        <v>110</v>
      </c>
      <c r="B60" s="30">
        <f>B59-B49</f>
        <v>0</v>
      </c>
      <c r="C60" s="30">
        <f t="shared" ref="C60:K60" si="28">C59-C49</f>
        <v>0</v>
      </c>
      <c r="D60" s="30">
        <f t="shared" si="28"/>
        <v>1734317</v>
      </c>
      <c r="E60" s="30">
        <f t="shared" si="28"/>
        <v>1228680</v>
      </c>
      <c r="F60" s="30">
        <f t="shared" si="28"/>
        <v>1228680</v>
      </c>
      <c r="G60" s="30">
        <f t="shared" si="28"/>
        <v>1228680</v>
      </c>
      <c r="H60" s="30">
        <f t="shared" si="28"/>
        <v>1228680</v>
      </c>
      <c r="I60" s="30">
        <f t="shared" si="28"/>
        <v>1228680</v>
      </c>
      <c r="J60" s="30">
        <f t="shared" si="28"/>
        <v>1228680</v>
      </c>
      <c r="K60" s="30">
        <f t="shared" si="28"/>
        <v>334680617.04713106</v>
      </c>
    </row>
    <row r="61" spans="1:11" ht="25.5" x14ac:dyDescent="0.25">
      <c r="A61" s="49" t="s">
        <v>111</v>
      </c>
      <c r="B61" s="30">
        <f>B60</f>
        <v>0</v>
      </c>
      <c r="C61" s="30">
        <f>B61+C60</f>
        <v>0</v>
      </c>
      <c r="D61" s="30">
        <f t="shared" ref="D61:K61" si="29">C61+D60</f>
        <v>1734317</v>
      </c>
      <c r="E61" s="30">
        <f t="shared" si="29"/>
        <v>2962997</v>
      </c>
      <c r="F61" s="30">
        <f t="shared" si="29"/>
        <v>4191677</v>
      </c>
      <c r="G61" s="30">
        <f t="shared" si="29"/>
        <v>5420357</v>
      </c>
      <c r="H61" s="30">
        <f t="shared" si="29"/>
        <v>6649037</v>
      </c>
      <c r="I61" s="30">
        <f t="shared" si="29"/>
        <v>7877717</v>
      </c>
      <c r="J61" s="30">
        <f t="shared" si="29"/>
        <v>9106397</v>
      </c>
      <c r="K61" s="30">
        <f t="shared" si="29"/>
        <v>343787014.04713106</v>
      </c>
    </row>
  </sheetData>
  <mergeCells count="3">
    <mergeCell ref="A1:M1"/>
    <mergeCell ref="A21:M21"/>
    <mergeCell ref="A42:K42"/>
  </mergeCells>
  <conditionalFormatting sqref="D24:M29">
    <cfRule type="expression" dxfId="4" priority="2" stopIfTrue="1">
      <formula>D$3="x"</formula>
    </cfRule>
  </conditionalFormatting>
  <conditionalFormatting sqref="B44:K61">
    <cfRule type="expression" dxfId="3" priority="4" stopIfTrue="1">
      <formula>B$44="x"</formula>
    </cfRule>
  </conditionalFormatting>
  <conditionalFormatting sqref="D3:M17">
    <cfRule type="expression" dxfId="2" priority="5" stopIfTrue="1">
      <formula>D$3="x"</formula>
    </cfRule>
  </conditionalFormatting>
  <conditionalFormatting sqref="D23:M23 D30:M31">
    <cfRule type="expression" dxfId="1" priority="3" stopIfTrue="1">
      <formula>D$3="x"</formula>
    </cfRule>
  </conditionalFormatting>
  <conditionalFormatting sqref="B38:B39 C32:M37">
    <cfRule type="expression" dxfId="0" priority="1" stopIfTrue="1">
      <formula>B$3="x"</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6" workbookViewId="0">
      <selection activeCell="C38" sqref="C38"/>
    </sheetView>
  </sheetViews>
  <sheetFormatPr defaultRowHeight="15" x14ac:dyDescent="0.25"/>
  <cols>
    <col min="1" max="1" width="4.85546875" customWidth="1"/>
    <col min="2" max="2" width="34.42578125" customWidth="1"/>
    <col min="3" max="3" width="15.42578125" bestFit="1" customWidth="1"/>
    <col min="4" max="4" width="16.42578125" bestFit="1" customWidth="1"/>
    <col min="5" max="5" width="15.42578125" bestFit="1" customWidth="1"/>
    <col min="6" max="6" width="20.140625" customWidth="1"/>
    <col min="7" max="7" width="18" bestFit="1" customWidth="1"/>
  </cols>
  <sheetData>
    <row r="1" spans="1:7" ht="18.75" x14ac:dyDescent="0.3">
      <c r="A1" s="129" t="s">
        <v>255</v>
      </c>
      <c r="B1" s="129"/>
      <c r="C1" s="130" t="s">
        <v>256</v>
      </c>
      <c r="D1" s="131"/>
      <c r="E1" s="131"/>
      <c r="F1" s="132"/>
    </row>
    <row r="2" spans="1:7" ht="18.75" x14ac:dyDescent="0.3">
      <c r="A2" s="129" t="s">
        <v>34</v>
      </c>
      <c r="B2" s="129"/>
      <c r="C2" s="138" t="s">
        <v>257</v>
      </c>
      <c r="D2" s="139"/>
      <c r="E2" s="139"/>
      <c r="F2" s="140"/>
    </row>
    <row r="3" spans="1:7" x14ac:dyDescent="0.25">
      <c r="A3" s="141" t="s">
        <v>35</v>
      </c>
      <c r="B3" s="141"/>
      <c r="C3" s="125">
        <v>2016</v>
      </c>
      <c r="D3" s="126">
        <v>2017</v>
      </c>
      <c r="E3" s="125">
        <v>2018</v>
      </c>
      <c r="F3" s="126" t="s">
        <v>36</v>
      </c>
    </row>
    <row r="4" spans="1:7" x14ac:dyDescent="0.25">
      <c r="A4" s="142" t="s">
        <v>37</v>
      </c>
      <c r="B4" s="142"/>
      <c r="C4" s="10"/>
      <c r="D4" s="10"/>
      <c r="E4" s="10"/>
      <c r="F4" s="79"/>
    </row>
    <row r="5" spans="1:7" ht="45" x14ac:dyDescent="0.25">
      <c r="A5" s="11"/>
      <c r="B5" s="12" t="s">
        <v>38</v>
      </c>
      <c r="C5" s="123">
        <f>[1]ktgvetés!$K$5+[1]ktgvetés!$K$6</f>
        <v>41973500</v>
      </c>
      <c r="D5" s="123"/>
      <c r="E5" s="123"/>
      <c r="F5" s="79">
        <f t="shared" ref="F5:F38" si="0">C5+D5+E5</f>
        <v>41973500</v>
      </c>
    </row>
    <row r="6" spans="1:7" x14ac:dyDescent="0.25">
      <c r="A6" s="11"/>
      <c r="B6" s="12" t="s">
        <v>39</v>
      </c>
      <c r="C6" s="123"/>
      <c r="D6" s="123">
        <f>[1]ktgvetés!$L$7</f>
        <v>7620000</v>
      </c>
      <c r="E6" s="123"/>
      <c r="F6" s="79">
        <f t="shared" si="0"/>
        <v>7620000</v>
      </c>
    </row>
    <row r="7" spans="1:7" x14ac:dyDescent="0.25">
      <c r="A7" s="136" t="s">
        <v>40</v>
      </c>
      <c r="B7" s="136"/>
      <c r="C7" s="123"/>
      <c r="D7" s="123"/>
      <c r="E7" s="123"/>
      <c r="F7" s="79"/>
    </row>
    <row r="8" spans="1:7" x14ac:dyDescent="0.25">
      <c r="A8" s="11"/>
      <c r="B8" s="13" t="s">
        <v>41</v>
      </c>
      <c r="C8" s="123"/>
      <c r="D8" s="123"/>
      <c r="E8" s="123"/>
      <c r="F8" s="79"/>
    </row>
    <row r="9" spans="1:7" ht="45" x14ac:dyDescent="0.25">
      <c r="A9" s="11"/>
      <c r="B9" s="13" t="s">
        <v>42</v>
      </c>
      <c r="C9" s="123"/>
      <c r="D9" s="123"/>
      <c r="E9" s="123"/>
      <c r="F9" s="79"/>
    </row>
    <row r="10" spans="1:7" x14ac:dyDescent="0.25">
      <c r="A10" s="11"/>
      <c r="B10" s="13" t="s">
        <v>43</v>
      </c>
      <c r="C10" s="123"/>
      <c r="D10" s="123"/>
      <c r="E10" s="123"/>
      <c r="F10" s="79"/>
    </row>
    <row r="11" spans="1:7" x14ac:dyDescent="0.25">
      <c r="A11" s="11"/>
      <c r="B11" s="14" t="s">
        <v>44</v>
      </c>
      <c r="C11" s="123"/>
      <c r="D11" s="123">
        <f>[1]ktgvetés!$L$9</f>
        <v>701866075</v>
      </c>
      <c r="E11" s="123">
        <f>[1]ktgvetés!$M$9-[1]ktgvetés!$F$21</f>
        <v>29585120</v>
      </c>
      <c r="F11" s="79">
        <f t="shared" si="0"/>
        <v>731451195</v>
      </c>
    </row>
    <row r="12" spans="1:7" x14ac:dyDescent="0.25">
      <c r="A12" s="11"/>
      <c r="B12" s="13" t="s">
        <v>45</v>
      </c>
      <c r="C12" s="123"/>
      <c r="D12" s="123">
        <f>[1]ktgvetés!$L$21</f>
        <v>92317079</v>
      </c>
      <c r="E12" s="123">
        <f>[1]ktgvetés!$M$21-[1]ktgvetés!$F$30</f>
        <v>258115</v>
      </c>
      <c r="F12" s="79">
        <f t="shared" si="0"/>
        <v>92575194</v>
      </c>
      <c r="G12" s="124">
        <f>F12+[1]ktgvetés!$F$30</f>
        <v>92833309</v>
      </c>
    </row>
    <row r="13" spans="1:7" ht="30" x14ac:dyDescent="0.25">
      <c r="A13" s="11"/>
      <c r="B13" s="15" t="s">
        <v>46</v>
      </c>
      <c r="C13" s="123"/>
      <c r="D13" s="123"/>
      <c r="E13" s="123"/>
      <c r="F13" s="79"/>
    </row>
    <row r="14" spans="1:7" x14ac:dyDescent="0.25">
      <c r="A14" s="134" t="s">
        <v>47</v>
      </c>
      <c r="B14" s="135"/>
      <c r="C14" s="123"/>
      <c r="D14" s="123"/>
      <c r="E14" s="123"/>
      <c r="F14" s="79"/>
    </row>
    <row r="15" spans="1:7" ht="30" x14ac:dyDescent="0.25">
      <c r="A15" s="11"/>
      <c r="B15" s="12" t="s">
        <v>48</v>
      </c>
      <c r="C15" s="123"/>
      <c r="D15" s="123">
        <f>[1]ktgvetés!$L$34</f>
        <v>3810000</v>
      </c>
      <c r="E15" s="123">
        <f>[1]ktgvetés!$M$34</f>
        <v>3810000</v>
      </c>
      <c r="F15" s="79">
        <f t="shared" si="0"/>
        <v>7620000</v>
      </c>
    </row>
    <row r="16" spans="1:7" ht="45" x14ac:dyDescent="0.25">
      <c r="A16" s="11"/>
      <c r="B16" s="12" t="s">
        <v>254</v>
      </c>
      <c r="C16" s="123"/>
      <c r="D16" s="123"/>
      <c r="E16" s="123">
        <f>[1]ktgvetés!$M$35+[1]ktgvetés!$M$36</f>
        <v>1397000</v>
      </c>
      <c r="F16" s="79">
        <f t="shared" si="0"/>
        <v>1397000</v>
      </c>
    </row>
    <row r="17" spans="1:6" x14ac:dyDescent="0.25">
      <c r="A17" s="11"/>
      <c r="B17" s="12" t="s">
        <v>49</v>
      </c>
      <c r="C17" s="123"/>
      <c r="D17" s="123"/>
      <c r="E17" s="123"/>
      <c r="F17" s="79"/>
    </row>
    <row r="18" spans="1:6" ht="30" x14ac:dyDescent="0.25">
      <c r="A18" s="11"/>
      <c r="B18" s="12" t="s">
        <v>50</v>
      </c>
      <c r="C18" s="123"/>
      <c r="D18" s="123"/>
      <c r="E18" s="123"/>
      <c r="F18" s="79"/>
    </row>
    <row r="19" spans="1:6" ht="30" x14ac:dyDescent="0.25">
      <c r="A19" s="11"/>
      <c r="B19" s="12" t="s">
        <v>51</v>
      </c>
      <c r="C19" s="123"/>
      <c r="D19" s="123">
        <f>[1]ktgvetés!$L$37</f>
        <v>48049999</v>
      </c>
      <c r="E19" s="123">
        <f>[1]ktgvetés!$M$37</f>
        <v>11950000</v>
      </c>
      <c r="F19" s="79">
        <f t="shared" si="0"/>
        <v>59999999</v>
      </c>
    </row>
    <row r="20" spans="1:6" ht="30" x14ac:dyDescent="0.25">
      <c r="A20" s="11"/>
      <c r="B20" s="12" t="s">
        <v>52</v>
      </c>
      <c r="C20" s="123">
        <f>[1]ktgvetés!$K$38</f>
        <v>338500</v>
      </c>
      <c r="D20" s="123">
        <f>[1]ktgvetés!$L$38</f>
        <v>438100</v>
      </c>
      <c r="E20" s="123">
        <f>[1]ktgvetés!$M$38</f>
        <v>547860</v>
      </c>
      <c r="F20" s="79">
        <f t="shared" si="0"/>
        <v>1324460</v>
      </c>
    </row>
    <row r="21" spans="1:6" ht="30" x14ac:dyDescent="0.25">
      <c r="A21" s="11"/>
      <c r="B21" s="12" t="s">
        <v>53</v>
      </c>
      <c r="C21" s="123"/>
      <c r="D21" s="123"/>
      <c r="E21" s="123"/>
      <c r="F21" s="79"/>
    </row>
    <row r="22" spans="1:6" ht="30" x14ac:dyDescent="0.25">
      <c r="A22" s="11"/>
      <c r="B22" s="12" t="s">
        <v>54</v>
      </c>
      <c r="C22" s="123"/>
      <c r="D22" s="123"/>
      <c r="E22" s="123"/>
      <c r="F22" s="79"/>
    </row>
    <row r="23" spans="1:6" x14ac:dyDescent="0.25">
      <c r="A23" s="11"/>
      <c r="B23" s="12" t="s">
        <v>55</v>
      </c>
      <c r="C23" s="123">
        <f>[1]ktgvetés!$E$41*5/20.5-1</f>
        <v>1603962.6585365853</v>
      </c>
      <c r="D23" s="123">
        <f>[1]ktgvetés!$E$41*12/20.5</f>
        <v>3849512.7804878047</v>
      </c>
      <c r="E23" s="123">
        <f>[1]ktgvetés!$E$41*3.5/20.5</f>
        <v>1122774.5609756098</v>
      </c>
      <c r="F23" s="79">
        <f>C23+D23+E23+1</f>
        <v>6576251</v>
      </c>
    </row>
    <row r="24" spans="1:6" x14ac:dyDescent="0.25">
      <c r="A24" s="134" t="s">
        <v>56</v>
      </c>
      <c r="B24" s="135"/>
      <c r="C24" s="123"/>
      <c r="D24" s="123"/>
      <c r="E24" s="123"/>
      <c r="F24" s="79"/>
    </row>
    <row r="25" spans="1:6" ht="30" x14ac:dyDescent="0.25">
      <c r="A25" s="11"/>
      <c r="B25" s="12" t="s">
        <v>57</v>
      </c>
      <c r="C25" s="123"/>
      <c r="D25" s="123"/>
      <c r="E25" s="123"/>
      <c r="F25" s="79"/>
    </row>
    <row r="26" spans="1:6" ht="30" x14ac:dyDescent="0.25">
      <c r="A26" s="11"/>
      <c r="B26" s="12" t="s">
        <v>58</v>
      </c>
      <c r="C26" s="123"/>
      <c r="D26" s="123"/>
      <c r="E26" s="123"/>
      <c r="F26" s="79"/>
    </row>
    <row r="27" spans="1:6" x14ac:dyDescent="0.25">
      <c r="A27" s="136" t="s">
        <v>59</v>
      </c>
      <c r="B27" s="136"/>
      <c r="C27" s="123"/>
      <c r="D27" s="123"/>
      <c r="E27" s="123"/>
      <c r="F27" s="79"/>
    </row>
    <row r="28" spans="1:6" ht="30" x14ac:dyDescent="0.25">
      <c r="A28" s="11"/>
      <c r="B28" s="12" t="s">
        <v>60</v>
      </c>
      <c r="C28" s="123">
        <f>10160000*5/20.5</f>
        <v>2478048.7804878047</v>
      </c>
      <c r="D28" s="123">
        <f>10160000*12/20.5</f>
        <v>5947317.0731707318</v>
      </c>
      <c r="E28" s="123">
        <f>10160000*3.5/20.5</f>
        <v>1734634.1463414633</v>
      </c>
      <c r="F28" s="79">
        <f t="shared" si="0"/>
        <v>10160000</v>
      </c>
    </row>
    <row r="29" spans="1:6" ht="45" x14ac:dyDescent="0.25">
      <c r="A29" s="11"/>
      <c r="B29" s="12" t="s">
        <v>61</v>
      </c>
      <c r="C29" s="123"/>
      <c r="D29" s="123"/>
      <c r="E29" s="123"/>
      <c r="F29" s="79"/>
    </row>
    <row r="30" spans="1:6" ht="45" x14ac:dyDescent="0.25">
      <c r="A30" s="11"/>
      <c r="B30" s="12" t="s">
        <v>62</v>
      </c>
      <c r="C30" s="123"/>
      <c r="D30" s="123"/>
      <c r="E30" s="123"/>
      <c r="F30" s="79"/>
    </row>
    <row r="31" spans="1:6" x14ac:dyDescent="0.25">
      <c r="A31" s="11"/>
      <c r="B31" s="12" t="s">
        <v>63</v>
      </c>
      <c r="C31" s="123"/>
      <c r="D31" s="123"/>
      <c r="E31" s="123"/>
      <c r="F31" s="79"/>
    </row>
    <row r="32" spans="1:6" x14ac:dyDescent="0.25">
      <c r="A32" s="137" t="s">
        <v>64</v>
      </c>
      <c r="B32" s="137"/>
      <c r="C32" s="123"/>
      <c r="D32" s="123"/>
      <c r="E32" s="123"/>
      <c r="F32" s="79"/>
    </row>
    <row r="33" spans="1:7" x14ac:dyDescent="0.25">
      <c r="A33" s="11"/>
      <c r="B33" s="16" t="s">
        <v>65</v>
      </c>
      <c r="C33" s="123"/>
      <c r="D33" s="123"/>
      <c r="E33" s="123"/>
      <c r="F33" s="79"/>
    </row>
    <row r="34" spans="1:7" x14ac:dyDescent="0.25">
      <c r="A34" s="11"/>
      <c r="B34" s="16" t="s">
        <v>66</v>
      </c>
      <c r="C34" s="123"/>
      <c r="D34" s="123"/>
      <c r="E34" s="123"/>
      <c r="F34" s="79"/>
    </row>
    <row r="35" spans="1:7" x14ac:dyDescent="0.25">
      <c r="A35" s="134" t="s">
        <v>67</v>
      </c>
      <c r="B35" s="135"/>
      <c r="C35" s="123"/>
      <c r="D35" s="123"/>
      <c r="E35" s="123"/>
      <c r="F35" s="79"/>
    </row>
    <row r="36" spans="1:7" x14ac:dyDescent="0.25">
      <c r="A36" s="137" t="s">
        <v>68</v>
      </c>
      <c r="B36" s="137"/>
      <c r="C36" s="123"/>
      <c r="D36" s="123">
        <f>[1]ktgvetés!$L$41</f>
        <v>12700000</v>
      </c>
      <c r="E36" s="123">
        <f>[1]ktgvetés!$M$41</f>
        <v>12700000</v>
      </c>
      <c r="F36" s="79">
        <f t="shared" si="0"/>
        <v>25400000</v>
      </c>
    </row>
    <row r="37" spans="1:7" x14ac:dyDescent="0.25">
      <c r="A37" s="136" t="s">
        <v>69</v>
      </c>
      <c r="B37" s="136"/>
      <c r="C37" s="123"/>
      <c r="D37" s="123"/>
      <c r="E37" s="123">
        <f>[1]ktgvetés!$F$21+[1]ktgvetés!$F$30</f>
        <v>29843236</v>
      </c>
      <c r="F37" s="79">
        <f t="shared" si="0"/>
        <v>29843236</v>
      </c>
    </row>
    <row r="38" spans="1:7" x14ac:dyDescent="0.25">
      <c r="A38" s="133" t="s">
        <v>36</v>
      </c>
      <c r="B38" s="133"/>
      <c r="C38" s="78">
        <f>SUM(C4:C37)+1</f>
        <v>46394012.439024389</v>
      </c>
      <c r="D38" s="78">
        <f t="shared" ref="D38:E38" si="1">SUM(D4:D37)</f>
        <v>876598082.85365856</v>
      </c>
      <c r="E38" s="78">
        <f t="shared" si="1"/>
        <v>92948739.707317084</v>
      </c>
      <c r="F38" s="79">
        <f t="shared" si="0"/>
        <v>1015940835</v>
      </c>
      <c r="G38" s="124"/>
    </row>
    <row r="40" spans="1:7" x14ac:dyDescent="0.25">
      <c r="F40" s="124">
        <f>[1]ktgvetés!$E$43-F38</f>
        <v>0</v>
      </c>
    </row>
  </sheetData>
  <protectedRanges>
    <protectedRange sqref="F3 C3:E37" name="Tartomány1_2"/>
  </protectedRanges>
  <mergeCells count="15">
    <mergeCell ref="A1:B1"/>
    <mergeCell ref="C1:F1"/>
    <mergeCell ref="A38:B38"/>
    <mergeCell ref="A24:B24"/>
    <mergeCell ref="A27:B27"/>
    <mergeCell ref="A32:B32"/>
    <mergeCell ref="A35:B35"/>
    <mergeCell ref="A36:B36"/>
    <mergeCell ref="A37:B37"/>
    <mergeCell ref="A14:B14"/>
    <mergeCell ref="A2:B2"/>
    <mergeCell ref="C2:F2"/>
    <mergeCell ref="A3:B3"/>
    <mergeCell ref="A4:B4"/>
    <mergeCell ref="A7:B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topLeftCell="A3" workbookViewId="0">
      <selection activeCell="E9" sqref="E9"/>
    </sheetView>
  </sheetViews>
  <sheetFormatPr defaultRowHeight="15" x14ac:dyDescent="0.25"/>
  <cols>
    <col min="1" max="1" width="42.5703125" customWidth="1"/>
    <col min="2" max="2" width="39.42578125" customWidth="1"/>
    <col min="3" max="3" width="14.5703125" bestFit="1" customWidth="1"/>
    <col min="4" max="5" width="16" bestFit="1" customWidth="1"/>
    <col min="6" max="6" width="15.140625" customWidth="1"/>
    <col min="7" max="7" width="16.42578125" customWidth="1"/>
    <col min="8" max="9" width="15.85546875" customWidth="1"/>
    <col min="10" max="10" width="13.85546875" customWidth="1"/>
    <col min="11" max="11" width="15.140625" customWidth="1"/>
    <col min="12" max="12" width="20.42578125" customWidth="1"/>
    <col min="13" max="13" width="24.140625" customWidth="1"/>
  </cols>
  <sheetData>
    <row r="1" spans="1:13" ht="38.25" x14ac:dyDescent="0.25">
      <c r="A1" s="152" t="s">
        <v>258</v>
      </c>
      <c r="B1" s="153" t="s">
        <v>259</v>
      </c>
      <c r="C1" s="153" t="s">
        <v>260</v>
      </c>
      <c r="D1" s="153" t="s">
        <v>261</v>
      </c>
      <c r="E1" s="154" t="s">
        <v>262</v>
      </c>
      <c r="F1" s="154" t="s">
        <v>263</v>
      </c>
      <c r="G1" s="17"/>
      <c r="H1" s="18"/>
      <c r="I1" s="18"/>
      <c r="J1" s="18"/>
      <c r="K1" s="18"/>
      <c r="L1" s="19"/>
      <c r="M1" s="19"/>
    </row>
    <row r="2" spans="1:13" x14ac:dyDescent="0.25">
      <c r="A2" s="155" t="s">
        <v>264</v>
      </c>
      <c r="B2" s="156">
        <v>33050000</v>
      </c>
      <c r="C2" s="156">
        <v>8923500</v>
      </c>
      <c r="D2" s="156">
        <v>41973500</v>
      </c>
      <c r="E2" s="157">
        <v>41973500</v>
      </c>
      <c r="F2" s="156">
        <v>0</v>
      </c>
      <c r="L2" s="7"/>
    </row>
    <row r="3" spans="1:13" x14ac:dyDescent="0.25">
      <c r="A3" s="155" t="s">
        <v>265</v>
      </c>
      <c r="B3" s="156">
        <v>39050000</v>
      </c>
      <c r="C3" s="156">
        <v>10543500</v>
      </c>
      <c r="D3" s="156">
        <v>49593500</v>
      </c>
      <c r="E3" s="157">
        <v>49593500</v>
      </c>
      <c r="F3" s="156">
        <v>0</v>
      </c>
      <c r="L3" s="7"/>
    </row>
    <row r="4" spans="1:13" x14ac:dyDescent="0.25">
      <c r="A4" s="158" t="s">
        <v>266</v>
      </c>
      <c r="B4" s="159">
        <v>2800000</v>
      </c>
      <c r="C4" s="160">
        <v>756000</v>
      </c>
      <c r="D4" s="160">
        <v>3556000</v>
      </c>
      <c r="E4" s="161">
        <v>3556000</v>
      </c>
      <c r="F4" s="160"/>
      <c r="J4" s="4"/>
      <c r="L4" s="7"/>
    </row>
    <row r="5" spans="1:13" ht="30" x14ac:dyDescent="0.25">
      <c r="A5" s="158" t="s">
        <v>267</v>
      </c>
      <c r="B5" s="159">
        <v>30250000</v>
      </c>
      <c r="C5" s="160">
        <v>8167500</v>
      </c>
      <c r="D5" s="160">
        <v>38417500</v>
      </c>
      <c r="E5" s="161">
        <v>38417500</v>
      </c>
      <c r="F5" s="160"/>
      <c r="J5" s="4"/>
      <c r="L5" s="7"/>
    </row>
    <row r="6" spans="1:13" x14ac:dyDescent="0.25">
      <c r="A6" s="158" t="s">
        <v>268</v>
      </c>
      <c r="B6" s="159">
        <v>6000000</v>
      </c>
      <c r="C6" s="160">
        <v>1620000</v>
      </c>
      <c r="D6" s="160">
        <v>7620000</v>
      </c>
      <c r="E6" s="161">
        <v>7620000</v>
      </c>
      <c r="F6" s="160"/>
      <c r="J6" s="4"/>
      <c r="L6" s="7"/>
    </row>
    <row r="7" spans="1:13" x14ac:dyDescent="0.25">
      <c r="A7" s="162" t="s">
        <v>269</v>
      </c>
      <c r="B7" s="156">
        <v>760903413</v>
      </c>
      <c r="C7" s="156">
        <v>205443922</v>
      </c>
      <c r="D7" s="156">
        <v>966347335</v>
      </c>
      <c r="E7" s="157">
        <v>966347335</v>
      </c>
      <c r="F7" s="163">
        <v>29843236</v>
      </c>
      <c r="J7" s="4"/>
      <c r="L7" s="7"/>
    </row>
    <row r="8" spans="1:13" x14ac:dyDescent="0.25">
      <c r="A8" s="164" t="s">
        <v>270</v>
      </c>
      <c r="B8" s="163">
        <v>599241194</v>
      </c>
      <c r="C8" s="163">
        <v>161795122</v>
      </c>
      <c r="D8" s="163">
        <v>761036316</v>
      </c>
      <c r="E8" s="163">
        <v>761036316</v>
      </c>
      <c r="F8" s="163">
        <v>29585121</v>
      </c>
      <c r="L8" s="7"/>
    </row>
    <row r="9" spans="1:13" x14ac:dyDescent="0.25">
      <c r="A9" s="165" t="s">
        <v>271</v>
      </c>
      <c r="B9" s="156">
        <v>354874324</v>
      </c>
      <c r="C9" s="156">
        <v>95816067</v>
      </c>
      <c r="D9" s="156">
        <v>450690391</v>
      </c>
      <c r="E9" s="157">
        <v>450690391</v>
      </c>
      <c r="F9" s="163">
        <v>0</v>
      </c>
      <c r="J9" s="4"/>
      <c r="L9" s="7"/>
    </row>
    <row r="10" spans="1:13" x14ac:dyDescent="0.25">
      <c r="A10" s="158" t="s">
        <v>272</v>
      </c>
      <c r="B10" s="166">
        <v>141234126</v>
      </c>
      <c r="C10" s="160">
        <v>38133214</v>
      </c>
      <c r="D10" s="160">
        <v>179367340</v>
      </c>
      <c r="E10" s="161">
        <v>179367340</v>
      </c>
      <c r="F10" s="160"/>
      <c r="L10" s="7"/>
    </row>
    <row r="11" spans="1:13" x14ac:dyDescent="0.25">
      <c r="A11" s="158" t="s">
        <v>273</v>
      </c>
      <c r="B11" s="166">
        <v>6180000</v>
      </c>
      <c r="C11" s="160">
        <v>1668600</v>
      </c>
      <c r="D11" s="160">
        <v>7848600</v>
      </c>
      <c r="E11" s="161">
        <v>7848600</v>
      </c>
      <c r="F11" s="160"/>
      <c r="J11" s="4"/>
      <c r="L11" s="7"/>
    </row>
    <row r="12" spans="1:13" x14ac:dyDescent="0.25">
      <c r="A12" s="158" t="s">
        <v>274</v>
      </c>
      <c r="B12" s="166">
        <v>74508594</v>
      </c>
      <c r="C12" s="160">
        <v>20117320</v>
      </c>
      <c r="D12" s="160">
        <v>94625914</v>
      </c>
      <c r="E12" s="161">
        <v>94625914</v>
      </c>
      <c r="F12" s="160"/>
      <c r="J12" s="4"/>
      <c r="L12" s="7"/>
    </row>
    <row r="13" spans="1:13" x14ac:dyDescent="0.25">
      <c r="A13" s="158" t="s">
        <v>275</v>
      </c>
      <c r="B13" s="166">
        <v>132951604</v>
      </c>
      <c r="C13" s="160">
        <v>35896933</v>
      </c>
      <c r="D13" s="160">
        <v>168848537</v>
      </c>
      <c r="E13" s="161">
        <v>168848537</v>
      </c>
      <c r="F13" s="160"/>
      <c r="J13" s="4"/>
      <c r="L13" s="7"/>
    </row>
    <row r="14" spans="1:13" x14ac:dyDescent="0.25">
      <c r="A14" s="165" t="s">
        <v>225</v>
      </c>
      <c r="B14" s="156">
        <v>197776129</v>
      </c>
      <c r="C14" s="156">
        <v>53399555</v>
      </c>
      <c r="D14" s="156">
        <v>251175684</v>
      </c>
      <c r="E14" s="157">
        <v>251175684</v>
      </c>
      <c r="F14" s="156">
        <v>0</v>
      </c>
      <c r="J14" s="4"/>
      <c r="L14" s="7"/>
    </row>
    <row r="15" spans="1:13" x14ac:dyDescent="0.25">
      <c r="A15" s="158" t="s">
        <v>276</v>
      </c>
      <c r="B15" s="166">
        <v>154173988</v>
      </c>
      <c r="C15" s="160">
        <v>41626977</v>
      </c>
      <c r="D15" s="160">
        <v>195800965</v>
      </c>
      <c r="E15" s="161">
        <v>195800965</v>
      </c>
      <c r="F15" s="160"/>
      <c r="J15" s="4"/>
      <c r="L15" s="7"/>
    </row>
    <row r="16" spans="1:13" x14ac:dyDescent="0.25">
      <c r="A16" s="158" t="s">
        <v>277</v>
      </c>
      <c r="B16" s="166">
        <v>25279814</v>
      </c>
      <c r="C16" s="160">
        <v>6825550</v>
      </c>
      <c r="D16" s="160">
        <v>32105364</v>
      </c>
      <c r="E16" s="161">
        <v>32105364</v>
      </c>
      <c r="F16" s="160"/>
      <c r="J16" s="4"/>
      <c r="L16" s="7"/>
    </row>
    <row r="17" spans="1:12" x14ac:dyDescent="0.25">
      <c r="A17" s="158" t="s">
        <v>274</v>
      </c>
      <c r="B17" s="166">
        <v>18322327</v>
      </c>
      <c r="C17" s="160">
        <v>4947028</v>
      </c>
      <c r="D17" s="160">
        <v>23269355</v>
      </c>
      <c r="E17" s="161">
        <v>23269355</v>
      </c>
      <c r="F17" s="160"/>
      <c r="L17" s="7"/>
    </row>
    <row r="18" spans="1:12" x14ac:dyDescent="0.25">
      <c r="A18" s="165" t="s">
        <v>3</v>
      </c>
      <c r="B18" s="156">
        <v>46590741</v>
      </c>
      <c r="C18" s="156">
        <v>12579500</v>
      </c>
      <c r="D18" s="156">
        <v>59170241</v>
      </c>
      <c r="E18" s="157">
        <v>59170241</v>
      </c>
      <c r="F18" s="163">
        <v>29585121</v>
      </c>
      <c r="J18" s="4"/>
      <c r="L18" s="7"/>
    </row>
    <row r="19" spans="1:12" x14ac:dyDescent="0.25">
      <c r="A19" s="158" t="s">
        <v>278</v>
      </c>
      <c r="B19" s="166">
        <v>46590741</v>
      </c>
      <c r="C19" s="160">
        <v>12579500</v>
      </c>
      <c r="D19" s="160">
        <v>59170241</v>
      </c>
      <c r="E19" s="161">
        <v>59170241</v>
      </c>
      <c r="F19" s="160">
        <v>29585121</v>
      </c>
      <c r="J19" s="4"/>
      <c r="L19" s="7"/>
    </row>
    <row r="20" spans="1:12" x14ac:dyDescent="0.25">
      <c r="A20" s="167" t="s">
        <v>279</v>
      </c>
      <c r="B20" s="156">
        <v>73097093</v>
      </c>
      <c r="C20" s="156">
        <v>19736216</v>
      </c>
      <c r="D20" s="156">
        <v>92833309</v>
      </c>
      <c r="E20" s="156">
        <v>92833309</v>
      </c>
      <c r="F20" s="156">
        <v>258115</v>
      </c>
      <c r="J20" s="4"/>
      <c r="L20" s="7"/>
    </row>
    <row r="21" spans="1:12" x14ac:dyDescent="0.25">
      <c r="A21" s="158" t="s">
        <v>280</v>
      </c>
      <c r="B21" s="160">
        <v>34351195</v>
      </c>
      <c r="C21" s="160">
        <v>9274823</v>
      </c>
      <c r="D21" s="160">
        <v>43626018</v>
      </c>
      <c r="E21" s="161">
        <v>43626018</v>
      </c>
      <c r="F21" s="160"/>
      <c r="J21" s="4"/>
      <c r="L21" s="7"/>
    </row>
    <row r="22" spans="1:12" x14ac:dyDescent="0.25">
      <c r="A22" s="158" t="s">
        <v>281</v>
      </c>
      <c r="B22" s="160">
        <v>1974595</v>
      </c>
      <c r="C22" s="160">
        <v>533141</v>
      </c>
      <c r="D22" s="160">
        <v>2507736</v>
      </c>
      <c r="E22" s="161">
        <v>2507736</v>
      </c>
      <c r="F22" s="160"/>
      <c r="L22" s="7"/>
    </row>
    <row r="23" spans="1:12" x14ac:dyDescent="0.25">
      <c r="A23" s="158" t="s">
        <v>282</v>
      </c>
      <c r="B23" s="160">
        <v>30469508</v>
      </c>
      <c r="C23" s="160">
        <v>8226767</v>
      </c>
      <c r="D23" s="160">
        <v>38696275</v>
      </c>
      <c r="E23" s="161">
        <v>38696275</v>
      </c>
      <c r="F23" s="160"/>
      <c r="L23" s="7"/>
    </row>
    <row r="24" spans="1:12" x14ac:dyDescent="0.25">
      <c r="A24" s="158" t="s">
        <v>276</v>
      </c>
      <c r="B24" s="160">
        <v>1219440</v>
      </c>
      <c r="C24" s="160">
        <v>329249</v>
      </c>
      <c r="D24" s="160">
        <v>1548689</v>
      </c>
      <c r="E24" s="161">
        <v>1548689</v>
      </c>
      <c r="F24" s="160"/>
      <c r="J24" s="4"/>
      <c r="L24" s="7"/>
    </row>
    <row r="25" spans="1:12" x14ac:dyDescent="0.25">
      <c r="A25" s="158" t="s">
        <v>283</v>
      </c>
      <c r="B25" s="160">
        <v>3670200</v>
      </c>
      <c r="C25" s="160">
        <v>990954</v>
      </c>
      <c r="D25" s="160">
        <v>4661154</v>
      </c>
      <c r="E25" s="161">
        <v>4661154</v>
      </c>
      <c r="F25" s="160"/>
      <c r="L25" s="7"/>
    </row>
    <row r="26" spans="1:12" x14ac:dyDescent="0.25">
      <c r="A26" s="158" t="s">
        <v>284</v>
      </c>
      <c r="B26" s="160">
        <v>0</v>
      </c>
      <c r="C26" s="160">
        <v>0</v>
      </c>
      <c r="D26" s="160">
        <v>0</v>
      </c>
      <c r="E26" s="161">
        <v>0</v>
      </c>
      <c r="F26" s="160"/>
      <c r="L26" s="7"/>
    </row>
    <row r="27" spans="1:12" x14ac:dyDescent="0.25">
      <c r="A27" s="158" t="s">
        <v>285</v>
      </c>
      <c r="B27" s="160">
        <v>1005675</v>
      </c>
      <c r="C27" s="160">
        <v>271532</v>
      </c>
      <c r="D27" s="160">
        <v>1277207</v>
      </c>
      <c r="E27" s="161">
        <v>1277207</v>
      </c>
      <c r="F27" s="160"/>
      <c r="J27" s="4"/>
      <c r="L27" s="7"/>
    </row>
    <row r="28" spans="1:12" x14ac:dyDescent="0.25">
      <c r="A28" s="158" t="s">
        <v>286</v>
      </c>
      <c r="B28" s="160">
        <v>406480</v>
      </c>
      <c r="C28" s="160">
        <v>109750</v>
      </c>
      <c r="D28" s="160">
        <v>516230</v>
      </c>
      <c r="E28" s="161">
        <v>516230</v>
      </c>
      <c r="F28" s="160">
        <v>258115</v>
      </c>
      <c r="J28" s="4"/>
      <c r="L28" s="7"/>
    </row>
    <row r="29" spans="1:12" x14ac:dyDescent="0.25">
      <c r="A29" s="167" t="s">
        <v>287</v>
      </c>
      <c r="B29" s="156">
        <v>0</v>
      </c>
      <c r="C29" s="156">
        <v>0</v>
      </c>
      <c r="D29" s="156">
        <v>0</v>
      </c>
      <c r="E29" s="157">
        <v>0</v>
      </c>
      <c r="F29" s="157">
        <v>0</v>
      </c>
      <c r="J29" s="4"/>
      <c r="L29" s="7"/>
    </row>
    <row r="30" spans="1:12" x14ac:dyDescent="0.25">
      <c r="A30" s="168"/>
      <c r="B30" s="160">
        <v>0</v>
      </c>
      <c r="C30" s="160">
        <v>0</v>
      </c>
      <c r="D30" s="160">
        <v>0</v>
      </c>
      <c r="E30" s="161">
        <v>0</v>
      </c>
      <c r="F30" s="160">
        <v>0</v>
      </c>
      <c r="L30" s="7"/>
    </row>
    <row r="31" spans="1:12" x14ac:dyDescent="0.25">
      <c r="A31" s="158"/>
      <c r="B31" s="160">
        <v>0</v>
      </c>
      <c r="C31" s="160">
        <v>0</v>
      </c>
      <c r="D31" s="160">
        <v>0</v>
      </c>
      <c r="E31" s="161">
        <v>0</v>
      </c>
      <c r="F31" s="160">
        <v>0</v>
      </c>
      <c r="L31" s="7"/>
    </row>
    <row r="32" spans="1:12" x14ac:dyDescent="0.25">
      <c r="A32" s="167" t="s">
        <v>288</v>
      </c>
      <c r="B32" s="156">
        <v>68565126</v>
      </c>
      <c r="C32" s="156">
        <v>18512584</v>
      </c>
      <c r="D32" s="156">
        <v>87077710</v>
      </c>
      <c r="E32" s="157">
        <v>87077710</v>
      </c>
      <c r="F32" s="157">
        <v>0</v>
      </c>
      <c r="L32" s="7"/>
    </row>
    <row r="33" spans="1:12" x14ac:dyDescent="0.25">
      <c r="A33" s="169" t="s">
        <v>289</v>
      </c>
      <c r="B33" s="159">
        <v>6000000</v>
      </c>
      <c r="C33" s="160">
        <v>1620000</v>
      </c>
      <c r="D33" s="160">
        <v>7620000</v>
      </c>
      <c r="E33" s="161">
        <v>7620000</v>
      </c>
      <c r="F33" s="160">
        <v>0</v>
      </c>
      <c r="J33" s="4"/>
      <c r="L33" s="7"/>
    </row>
    <row r="34" spans="1:12" ht="30" x14ac:dyDescent="0.25">
      <c r="A34" s="170" t="s">
        <v>290</v>
      </c>
      <c r="B34" s="159">
        <v>600000</v>
      </c>
      <c r="C34" s="160">
        <v>162000</v>
      </c>
      <c r="D34" s="160">
        <v>762000</v>
      </c>
      <c r="E34" s="161">
        <v>762000</v>
      </c>
      <c r="F34" s="160">
        <v>0</v>
      </c>
      <c r="L34" s="7"/>
    </row>
    <row r="35" spans="1:12" x14ac:dyDescent="0.25">
      <c r="A35" s="171" t="s">
        <v>291</v>
      </c>
      <c r="B35" s="159">
        <v>500000</v>
      </c>
      <c r="C35" s="160">
        <v>135000</v>
      </c>
      <c r="D35" s="160">
        <v>635000</v>
      </c>
      <c r="E35" s="161">
        <v>635000</v>
      </c>
      <c r="F35" s="160">
        <v>0</v>
      </c>
      <c r="L35" s="7"/>
    </row>
    <row r="36" spans="1:12" x14ac:dyDescent="0.25">
      <c r="A36" s="171" t="s">
        <v>24</v>
      </c>
      <c r="B36" s="159">
        <v>47244094</v>
      </c>
      <c r="C36" s="160">
        <v>12755905</v>
      </c>
      <c r="D36" s="160">
        <v>59999999</v>
      </c>
      <c r="E36" s="161">
        <v>59999999</v>
      </c>
      <c r="F36" s="160">
        <v>0</v>
      </c>
      <c r="J36" s="4"/>
      <c r="L36" s="7"/>
    </row>
    <row r="37" spans="1:12" x14ac:dyDescent="0.25">
      <c r="A37" s="169" t="s">
        <v>292</v>
      </c>
      <c r="B37" s="159">
        <v>1042882</v>
      </c>
      <c r="C37" s="160">
        <v>281578</v>
      </c>
      <c r="D37" s="160">
        <v>1324460</v>
      </c>
      <c r="E37" s="161">
        <v>1324460</v>
      </c>
      <c r="F37" s="160">
        <v>0</v>
      </c>
      <c r="L37" s="7"/>
    </row>
    <row r="38" spans="1:12" x14ac:dyDescent="0.25">
      <c r="A38" s="169" t="s">
        <v>293</v>
      </c>
      <c r="B38" s="159">
        <v>8000000</v>
      </c>
      <c r="C38" s="160">
        <v>2160000</v>
      </c>
      <c r="D38" s="160">
        <v>10160000</v>
      </c>
      <c r="E38" s="161">
        <v>10160000</v>
      </c>
      <c r="F38" s="160">
        <v>0</v>
      </c>
      <c r="L38" s="7"/>
    </row>
    <row r="39" spans="1:12" x14ac:dyDescent="0.25">
      <c r="A39" s="169" t="s">
        <v>294</v>
      </c>
      <c r="B39" s="159">
        <v>5178150</v>
      </c>
      <c r="C39" s="160">
        <v>1398101</v>
      </c>
      <c r="D39" s="160">
        <v>6576251</v>
      </c>
      <c r="E39" s="161">
        <v>6576251</v>
      </c>
      <c r="F39" s="160">
        <v>0</v>
      </c>
      <c r="L39" s="7"/>
    </row>
    <row r="40" spans="1:12" x14ac:dyDescent="0.25">
      <c r="A40" s="172" t="s">
        <v>68</v>
      </c>
      <c r="B40" s="173">
        <v>20000000</v>
      </c>
      <c r="C40" s="174">
        <v>5400000</v>
      </c>
      <c r="D40" s="174">
        <v>25400000</v>
      </c>
      <c r="E40" s="175">
        <v>25400000</v>
      </c>
      <c r="F40" s="160">
        <v>0</v>
      </c>
      <c r="L40" s="7"/>
    </row>
    <row r="41" spans="1:12" x14ac:dyDescent="0.25">
      <c r="A41" s="167" t="s">
        <v>295</v>
      </c>
      <c r="B41" s="156">
        <v>799953413</v>
      </c>
      <c r="C41" s="156">
        <v>215987422</v>
      </c>
      <c r="D41" s="156">
        <v>1015940835</v>
      </c>
      <c r="E41" s="157">
        <v>1015940835</v>
      </c>
      <c r="F41" s="156">
        <v>29843236</v>
      </c>
      <c r="L41" s="7"/>
    </row>
    <row r="42" spans="1:12" x14ac:dyDescent="0.25">
      <c r="A42" s="176" t="s">
        <v>296</v>
      </c>
      <c r="B42" s="177"/>
      <c r="C42" s="177"/>
      <c r="D42" s="177"/>
      <c r="E42" s="178">
        <v>986097599</v>
      </c>
      <c r="F42" s="179">
        <v>0.97062502561972519</v>
      </c>
      <c r="L42" s="7"/>
    </row>
    <row r="43" spans="1:12" x14ac:dyDescent="0.25">
      <c r="A43" s="180"/>
      <c r="B43" s="180"/>
      <c r="C43" s="180"/>
      <c r="D43" s="180"/>
      <c r="E43" s="178"/>
      <c r="F43" s="180"/>
      <c r="L43" s="7"/>
    </row>
    <row r="44" spans="1:12" ht="76.5" x14ac:dyDescent="0.25">
      <c r="A44" s="181" t="s">
        <v>258</v>
      </c>
      <c r="B44" s="181" t="s">
        <v>297</v>
      </c>
      <c r="C44" s="181" t="s">
        <v>298</v>
      </c>
      <c r="D44" s="181" t="s">
        <v>299</v>
      </c>
      <c r="E44" s="182" t="s">
        <v>300</v>
      </c>
      <c r="F44" s="180"/>
      <c r="L44" s="7"/>
    </row>
    <row r="45" spans="1:12" ht="38.25" x14ac:dyDescent="0.25">
      <c r="A45" s="183" t="s">
        <v>301</v>
      </c>
      <c r="B45" s="184">
        <v>0.05</v>
      </c>
      <c r="C45" s="185">
        <f>E$43*B45</f>
        <v>0</v>
      </c>
      <c r="D45" s="185">
        <f>E2</f>
        <v>41973500</v>
      </c>
      <c r="E45" s="186" t="str">
        <f>IF(D45&gt;C45,"HIBA!","")</f>
        <v>HIBA!</v>
      </c>
      <c r="F45" s="180"/>
      <c r="L45" s="7"/>
    </row>
    <row r="46" spans="1:12" x14ac:dyDescent="0.25">
      <c r="A46" s="183" t="s">
        <v>302</v>
      </c>
      <c r="B46" s="184">
        <v>0.01</v>
      </c>
      <c r="C46" s="185">
        <f t="shared" ref="C46:C55" si="0">E$43*B46</f>
        <v>0</v>
      </c>
      <c r="D46" s="185">
        <f>E6</f>
        <v>7620000</v>
      </c>
      <c r="E46" s="186" t="str">
        <f t="shared" ref="E46:E54" si="1">IF(D46&gt;C46,"HIBA!","")</f>
        <v>HIBA!</v>
      </c>
      <c r="F46" s="180"/>
      <c r="L46" s="7"/>
    </row>
    <row r="47" spans="1:12" x14ac:dyDescent="0.25">
      <c r="A47" s="183" t="s">
        <v>303</v>
      </c>
      <c r="B47" s="184">
        <v>0.02</v>
      </c>
      <c r="C47" s="185">
        <f t="shared" si="0"/>
        <v>0</v>
      </c>
      <c r="D47" s="185">
        <f>E30</f>
        <v>0</v>
      </c>
      <c r="E47" s="186" t="str">
        <f t="shared" si="1"/>
        <v/>
      </c>
      <c r="F47" s="180"/>
      <c r="L47" s="7"/>
    </row>
    <row r="48" spans="1:12" x14ac:dyDescent="0.25">
      <c r="A48" s="183" t="s">
        <v>304</v>
      </c>
      <c r="B48" s="184">
        <v>0.01</v>
      </c>
      <c r="C48" s="185">
        <f t="shared" si="0"/>
        <v>0</v>
      </c>
      <c r="D48" s="185">
        <f>E33</f>
        <v>7620000</v>
      </c>
      <c r="E48" s="186" t="str">
        <f t="shared" si="1"/>
        <v>HIBA!</v>
      </c>
      <c r="F48" s="180"/>
    </row>
    <row r="49" spans="1:6" x14ac:dyDescent="0.25">
      <c r="A49" s="183" t="s">
        <v>293</v>
      </c>
      <c r="B49" s="184">
        <v>2.5000000000000001E-2</v>
      </c>
      <c r="C49" s="185">
        <f t="shared" si="0"/>
        <v>0</v>
      </c>
      <c r="D49" s="185">
        <f>E38</f>
        <v>10160000</v>
      </c>
      <c r="E49" s="186" t="str">
        <f t="shared" si="1"/>
        <v>HIBA!</v>
      </c>
      <c r="F49" s="180"/>
    </row>
    <row r="50" spans="1:6" x14ac:dyDescent="0.25">
      <c r="A50" s="183" t="s">
        <v>305</v>
      </c>
      <c r="B50" s="184">
        <v>0.2</v>
      </c>
      <c r="C50" s="185">
        <f t="shared" si="0"/>
        <v>0</v>
      </c>
      <c r="D50" s="185">
        <f>E15+E24</f>
        <v>197349654</v>
      </c>
      <c r="E50" s="186" t="str">
        <f t="shared" si="1"/>
        <v>HIBA!</v>
      </c>
      <c r="F50" s="187">
        <f>D50-C50</f>
        <v>197349654</v>
      </c>
    </row>
    <row r="51" spans="1:6" x14ac:dyDescent="0.25">
      <c r="A51" s="183" t="s">
        <v>306</v>
      </c>
      <c r="B51" s="184">
        <v>0.2</v>
      </c>
      <c r="C51" s="185">
        <f t="shared" si="0"/>
        <v>0</v>
      </c>
      <c r="D51" s="185">
        <f>E12+E17+E22+E26</f>
        <v>120403005</v>
      </c>
      <c r="E51" s="186"/>
      <c r="F51" s="180"/>
    </row>
    <row r="52" spans="1:6" x14ac:dyDescent="0.25">
      <c r="A52" s="183" t="s">
        <v>307</v>
      </c>
      <c r="B52" s="184">
        <v>0.1</v>
      </c>
      <c r="C52" s="185">
        <f t="shared" si="0"/>
        <v>0</v>
      </c>
      <c r="D52" s="185">
        <f>E19+E28</f>
        <v>59686471</v>
      </c>
      <c r="E52" s="186"/>
      <c r="F52" s="180"/>
    </row>
    <row r="53" spans="1:6" x14ac:dyDescent="0.25">
      <c r="A53" s="188" t="s">
        <v>68</v>
      </c>
      <c r="B53" s="189">
        <v>0.05</v>
      </c>
      <c r="C53" s="185">
        <f t="shared" si="0"/>
        <v>0</v>
      </c>
      <c r="D53" s="185">
        <f>E40</f>
        <v>25400000</v>
      </c>
      <c r="E53" s="186" t="str">
        <f t="shared" si="1"/>
        <v>HIBA!</v>
      </c>
      <c r="F53" s="180"/>
    </row>
    <row r="54" spans="1:6" x14ac:dyDescent="0.25">
      <c r="A54" s="180"/>
      <c r="B54" s="180"/>
      <c r="C54" s="185">
        <f t="shared" si="0"/>
        <v>0</v>
      </c>
      <c r="D54" s="180"/>
      <c r="E54" s="186" t="str">
        <f t="shared" si="1"/>
        <v/>
      </c>
      <c r="F54" s="180"/>
    </row>
    <row r="55" spans="1:6" x14ac:dyDescent="0.25">
      <c r="A55" s="180" t="s">
        <v>308</v>
      </c>
      <c r="B55" s="190">
        <v>0.4</v>
      </c>
      <c r="C55" s="185">
        <f t="shared" si="0"/>
        <v>0</v>
      </c>
      <c r="D55" s="187">
        <f>E10+E11+E15+E16+E21+E23+E24+E27</f>
        <v>500270458</v>
      </c>
      <c r="E55" s="186" t="str">
        <f>IF(D55&lt;C55,"HIBA!","")</f>
        <v/>
      </c>
      <c r="F55" s="180"/>
    </row>
    <row r="56" spans="1:6" x14ac:dyDescent="0.25">
      <c r="A56" s="180"/>
      <c r="B56" s="180"/>
      <c r="C56" s="180"/>
      <c r="D56" s="180"/>
      <c r="E56" s="191"/>
      <c r="F56" s="18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B6" sqref="B6"/>
    </sheetView>
  </sheetViews>
  <sheetFormatPr defaultRowHeight="15" x14ac:dyDescent="0.25"/>
  <cols>
    <col min="1" max="1" width="39.140625" customWidth="1"/>
    <col min="2" max="2" width="59.5703125" customWidth="1"/>
    <col min="3" max="3" width="15.42578125" customWidth="1"/>
    <col min="4" max="4" width="39.42578125" customWidth="1"/>
    <col min="5" max="5" width="12.42578125" customWidth="1"/>
    <col min="6" max="6" width="11.7109375" customWidth="1"/>
    <col min="7" max="7" width="12.7109375" customWidth="1"/>
    <col min="8" max="8" width="12.42578125" customWidth="1"/>
    <col min="9" max="9" width="12" customWidth="1"/>
  </cols>
  <sheetData>
    <row r="1" spans="1:9" ht="23.25" x14ac:dyDescent="0.25">
      <c r="A1" s="143" t="s">
        <v>24</v>
      </c>
      <c r="B1" s="143"/>
      <c r="C1" s="143"/>
      <c r="D1" s="143"/>
      <c r="E1" s="143"/>
      <c r="F1" s="143"/>
      <c r="G1" s="143"/>
      <c r="H1" s="143"/>
      <c r="I1" s="143"/>
    </row>
    <row r="2" spans="1:9" x14ac:dyDescent="0.25">
      <c r="A2" s="144" t="s">
        <v>125</v>
      </c>
      <c r="B2" s="144" t="s">
        <v>126</v>
      </c>
      <c r="C2" s="146" t="s">
        <v>152</v>
      </c>
      <c r="D2" s="144" t="s">
        <v>153</v>
      </c>
      <c r="E2" s="147" t="s">
        <v>154</v>
      </c>
      <c r="F2" s="147"/>
      <c r="G2" s="147"/>
      <c r="H2" s="147"/>
      <c r="I2" s="147"/>
    </row>
    <row r="3" spans="1:9" x14ac:dyDescent="0.25">
      <c r="A3" s="145"/>
      <c r="B3" s="145"/>
      <c r="C3" s="145"/>
      <c r="D3" s="145"/>
      <c r="E3" s="52" t="s">
        <v>157</v>
      </c>
      <c r="F3" s="52" t="s">
        <v>158</v>
      </c>
      <c r="G3" s="52" t="s">
        <v>159</v>
      </c>
      <c r="H3" s="52" t="s">
        <v>160</v>
      </c>
      <c r="I3" s="52" t="s">
        <v>161</v>
      </c>
    </row>
    <row r="4" spans="1:9" ht="60" x14ac:dyDescent="0.25">
      <c r="A4" s="51" t="s">
        <v>127</v>
      </c>
      <c r="B4" s="51" t="s">
        <v>128</v>
      </c>
      <c r="C4" s="53">
        <v>4500000</v>
      </c>
      <c r="D4" s="68" t="s">
        <v>195</v>
      </c>
      <c r="E4" s="53">
        <v>4500000</v>
      </c>
      <c r="F4" s="53"/>
      <c r="G4" s="53"/>
      <c r="H4" s="53"/>
      <c r="I4" s="53"/>
    </row>
    <row r="5" spans="1:9" ht="156" x14ac:dyDescent="0.25">
      <c r="A5" s="51" t="s">
        <v>129</v>
      </c>
      <c r="B5" s="51" t="s">
        <v>196</v>
      </c>
      <c r="C5" s="53">
        <v>9500000</v>
      </c>
      <c r="D5" s="69" t="s">
        <v>197</v>
      </c>
      <c r="E5" s="53">
        <v>1800000</v>
      </c>
      <c r="F5" s="53">
        <v>1800000</v>
      </c>
      <c r="G5" s="53">
        <v>1800000</v>
      </c>
      <c r="H5" s="53">
        <v>2050000</v>
      </c>
      <c r="I5" s="53">
        <v>2050000</v>
      </c>
    </row>
    <row r="6" spans="1:9" ht="60" x14ac:dyDescent="0.25">
      <c r="A6" s="51" t="s">
        <v>130</v>
      </c>
      <c r="B6" s="51" t="s">
        <v>131</v>
      </c>
      <c r="C6" s="53">
        <v>4000000</v>
      </c>
      <c r="D6" s="69" t="s">
        <v>198</v>
      </c>
      <c r="E6" s="53">
        <v>800000</v>
      </c>
      <c r="F6" s="53">
        <v>800000</v>
      </c>
      <c r="G6" s="53">
        <v>800000</v>
      </c>
      <c r="H6" s="53">
        <v>800000</v>
      </c>
      <c r="I6" s="53">
        <v>800000</v>
      </c>
    </row>
    <row r="7" spans="1:9" ht="60" x14ac:dyDescent="0.25">
      <c r="A7" s="51" t="s">
        <v>132</v>
      </c>
      <c r="B7" s="51" t="s">
        <v>133</v>
      </c>
      <c r="C7" s="53">
        <v>3000000</v>
      </c>
      <c r="D7" s="69" t="s">
        <v>199</v>
      </c>
      <c r="E7" s="53">
        <v>600000</v>
      </c>
      <c r="F7" s="53">
        <v>600000</v>
      </c>
      <c r="G7" s="53">
        <v>600000</v>
      </c>
      <c r="H7" s="53">
        <v>600000</v>
      </c>
      <c r="I7" s="53">
        <v>600000</v>
      </c>
    </row>
    <row r="8" spans="1:9" ht="156" x14ac:dyDescent="0.25">
      <c r="A8" s="51" t="s">
        <v>134</v>
      </c>
      <c r="B8" s="51" t="s">
        <v>200</v>
      </c>
      <c r="C8" s="53">
        <v>9000000</v>
      </c>
      <c r="D8" s="69" t="s">
        <v>201</v>
      </c>
      <c r="E8" s="53">
        <v>1800000</v>
      </c>
      <c r="F8" s="53">
        <v>1800000</v>
      </c>
      <c r="G8" s="53">
        <v>1800000</v>
      </c>
      <c r="H8" s="53">
        <v>1800000</v>
      </c>
      <c r="I8" s="53">
        <v>1800000</v>
      </c>
    </row>
    <row r="9" spans="1:9" ht="60" x14ac:dyDescent="0.25">
      <c r="A9" s="51" t="s">
        <v>135</v>
      </c>
      <c r="B9" s="51" t="s">
        <v>136</v>
      </c>
      <c r="C9" s="53">
        <v>3000000</v>
      </c>
      <c r="D9" s="69" t="s">
        <v>202</v>
      </c>
      <c r="E9" s="53"/>
      <c r="F9" s="53">
        <v>1500000</v>
      </c>
      <c r="G9" s="53">
        <v>1500000</v>
      </c>
      <c r="H9" s="53"/>
      <c r="I9" s="53"/>
    </row>
    <row r="10" spans="1:9" ht="24" x14ac:dyDescent="0.25">
      <c r="A10" s="51" t="s">
        <v>137</v>
      </c>
      <c r="B10" s="51" t="s">
        <v>138</v>
      </c>
      <c r="C10" s="53">
        <v>1000000</v>
      </c>
      <c r="D10" s="69" t="s">
        <v>203</v>
      </c>
      <c r="E10" s="53">
        <v>500000</v>
      </c>
      <c r="F10" s="53"/>
      <c r="G10" s="53"/>
      <c r="H10" s="53"/>
      <c r="I10" s="53">
        <v>500000</v>
      </c>
    </row>
    <row r="11" spans="1:9" ht="60" x14ac:dyDescent="0.25">
      <c r="A11" s="51" t="s">
        <v>139</v>
      </c>
      <c r="B11" s="51" t="s">
        <v>140</v>
      </c>
      <c r="C11" s="53">
        <v>3000000</v>
      </c>
      <c r="D11" s="69" t="s">
        <v>204</v>
      </c>
      <c r="E11" s="53">
        <v>1500000</v>
      </c>
      <c r="F11" s="53"/>
      <c r="G11" s="53"/>
      <c r="H11" s="53"/>
      <c r="I11" s="53">
        <v>1500000</v>
      </c>
    </row>
    <row r="12" spans="1:9" ht="72" x14ac:dyDescent="0.25">
      <c r="A12" s="51" t="s">
        <v>141</v>
      </c>
      <c r="B12" s="51" t="s">
        <v>205</v>
      </c>
      <c r="C12" s="53">
        <v>3000000</v>
      </c>
      <c r="D12" s="69" t="s">
        <v>206</v>
      </c>
      <c r="E12" s="53">
        <v>1500000</v>
      </c>
      <c r="F12" s="53"/>
      <c r="G12" s="53"/>
      <c r="H12" s="53"/>
      <c r="I12" s="53">
        <v>1500000</v>
      </c>
    </row>
    <row r="13" spans="1:9" ht="60" x14ac:dyDescent="0.25">
      <c r="A13" s="51" t="s">
        <v>142</v>
      </c>
      <c r="B13" s="51" t="s">
        <v>143</v>
      </c>
      <c r="C13" s="53">
        <v>3000000</v>
      </c>
      <c r="D13" s="69" t="s">
        <v>207</v>
      </c>
      <c r="E13" s="53"/>
      <c r="F13" s="53">
        <v>1500000</v>
      </c>
      <c r="G13" s="53"/>
      <c r="H13" s="53">
        <v>1500000</v>
      </c>
      <c r="I13" s="53"/>
    </row>
    <row r="14" spans="1:9" ht="36" x14ac:dyDescent="0.25">
      <c r="A14" s="51" t="s">
        <v>144</v>
      </c>
      <c r="B14" s="51" t="s">
        <v>208</v>
      </c>
      <c r="C14" s="53">
        <v>6000000</v>
      </c>
      <c r="D14" s="69" t="s">
        <v>209</v>
      </c>
      <c r="E14" s="53">
        <v>1200000</v>
      </c>
      <c r="F14" s="53">
        <v>1200000</v>
      </c>
      <c r="G14" s="53">
        <v>1200000</v>
      </c>
      <c r="H14" s="53">
        <v>1200000</v>
      </c>
      <c r="I14" s="53">
        <v>1200000</v>
      </c>
    </row>
    <row r="15" spans="1:9" ht="60" x14ac:dyDescent="0.25">
      <c r="A15" s="51" t="s">
        <v>145</v>
      </c>
      <c r="B15" s="51" t="s">
        <v>210</v>
      </c>
      <c r="C15" s="53">
        <v>2500000</v>
      </c>
      <c r="D15" s="69" t="s">
        <v>211</v>
      </c>
      <c r="E15" s="53">
        <v>500000</v>
      </c>
      <c r="F15" s="53">
        <v>500000</v>
      </c>
      <c r="G15" s="53">
        <v>500000</v>
      </c>
      <c r="H15" s="53">
        <v>500000</v>
      </c>
      <c r="I15" s="53">
        <v>500000</v>
      </c>
    </row>
    <row r="16" spans="1:9" ht="60" x14ac:dyDescent="0.25">
      <c r="A16" s="51" t="s">
        <v>146</v>
      </c>
      <c r="B16" s="51" t="s">
        <v>212</v>
      </c>
      <c r="C16" s="53">
        <v>4000000</v>
      </c>
      <c r="D16" s="69" t="s">
        <v>213</v>
      </c>
      <c r="E16" s="53">
        <v>500000</v>
      </c>
      <c r="F16" s="53">
        <v>2000000</v>
      </c>
      <c r="G16" s="53">
        <v>500000</v>
      </c>
      <c r="H16" s="53">
        <v>500000</v>
      </c>
      <c r="I16" s="53">
        <v>500000</v>
      </c>
    </row>
    <row r="17" spans="1:9" ht="60" x14ac:dyDescent="0.25">
      <c r="A17" s="51" t="s">
        <v>147</v>
      </c>
      <c r="B17" s="51" t="s">
        <v>214</v>
      </c>
      <c r="C17" s="53">
        <v>2000000</v>
      </c>
      <c r="D17" s="69" t="s">
        <v>215</v>
      </c>
      <c r="E17" s="53">
        <v>500000</v>
      </c>
      <c r="F17" s="53">
        <v>500000</v>
      </c>
      <c r="G17" s="53"/>
      <c r="H17" s="53">
        <v>500000</v>
      </c>
      <c r="I17" s="53">
        <v>500000</v>
      </c>
    </row>
    <row r="18" spans="1:9" ht="60" x14ac:dyDescent="0.25">
      <c r="A18" s="51" t="s">
        <v>148</v>
      </c>
      <c r="B18" s="51" t="s">
        <v>216</v>
      </c>
      <c r="C18" s="53">
        <v>2500000</v>
      </c>
      <c r="D18" s="69" t="s">
        <v>217</v>
      </c>
      <c r="E18" s="53">
        <v>500000</v>
      </c>
      <c r="F18" s="53">
        <v>500000</v>
      </c>
      <c r="G18" s="53">
        <v>500000</v>
      </c>
      <c r="H18" s="53">
        <v>500000</v>
      </c>
      <c r="I18" s="53">
        <v>500000</v>
      </c>
    </row>
    <row r="19" spans="1:9" x14ac:dyDescent="0.25">
      <c r="B19" s="7"/>
      <c r="C19" s="54">
        <f>SUM(C4:C18)</f>
        <v>60000000</v>
      </c>
      <c r="D19" s="70"/>
      <c r="E19" s="54">
        <f>SUM(E4:E18)</f>
        <v>16200000</v>
      </c>
      <c r="F19" s="54">
        <f>SUM(F4:F18)</f>
        <v>12700000</v>
      </c>
      <c r="G19" s="54">
        <f>SUM(G4:G18)</f>
        <v>9200000</v>
      </c>
      <c r="H19" s="54">
        <f>SUM(H4:H18)</f>
        <v>9950000</v>
      </c>
      <c r="I19" s="54">
        <f>SUM(I4:I18)</f>
        <v>11950000</v>
      </c>
    </row>
  </sheetData>
  <mergeCells count="6">
    <mergeCell ref="A1:I1"/>
    <mergeCell ref="A2:A3"/>
    <mergeCell ref="B2:B3"/>
    <mergeCell ref="C2:C3"/>
    <mergeCell ref="D2:D3"/>
    <mergeCell ref="E2:I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sqref="A1:XFD2"/>
    </sheetView>
  </sheetViews>
  <sheetFormatPr defaultRowHeight="15" x14ac:dyDescent="0.25"/>
  <cols>
    <col min="1" max="1" width="33.5703125" customWidth="1"/>
    <col min="2" max="2" width="12.7109375" customWidth="1"/>
    <col min="3" max="3" width="14" customWidth="1"/>
    <col min="4" max="4" width="18.85546875" customWidth="1"/>
    <col min="5" max="5" width="18.140625" customWidth="1"/>
    <col min="6" max="6" width="19.42578125" customWidth="1"/>
    <col min="7" max="7" width="15.5703125" customWidth="1"/>
  </cols>
  <sheetData>
    <row r="1" spans="1:11" ht="23.25" x14ac:dyDescent="0.25">
      <c r="A1" s="148" t="s">
        <v>151</v>
      </c>
      <c r="B1" s="148"/>
      <c r="C1" s="148"/>
      <c r="D1" s="148"/>
      <c r="E1" s="148"/>
      <c r="F1" s="148"/>
      <c r="G1" s="148"/>
      <c r="H1" s="148"/>
      <c r="I1" s="148"/>
      <c r="J1" s="148"/>
      <c r="K1" s="148"/>
    </row>
    <row r="2" spans="1:11" x14ac:dyDescent="0.25">
      <c r="A2" s="144" t="s">
        <v>125</v>
      </c>
      <c r="B2" s="146" t="s">
        <v>126</v>
      </c>
      <c r="C2" s="146" t="s">
        <v>152</v>
      </c>
      <c r="D2" s="146" t="s">
        <v>153</v>
      </c>
      <c r="E2" s="149" t="s">
        <v>154</v>
      </c>
      <c r="F2" s="150"/>
      <c r="G2" s="150"/>
      <c r="H2" s="150"/>
      <c r="I2" s="150"/>
      <c r="J2" s="150"/>
      <c r="K2" s="151"/>
    </row>
    <row r="3" spans="1:11" x14ac:dyDescent="0.25">
      <c r="A3" s="145"/>
      <c r="B3" s="145"/>
      <c r="C3" s="145"/>
      <c r="D3" s="145"/>
      <c r="E3" s="52" t="s">
        <v>155</v>
      </c>
      <c r="F3" s="52" t="s">
        <v>156</v>
      </c>
      <c r="G3" s="52" t="s">
        <v>157</v>
      </c>
      <c r="H3" s="52" t="s">
        <v>158</v>
      </c>
      <c r="I3" s="52" t="s">
        <v>159</v>
      </c>
      <c r="J3" s="52" t="s">
        <v>160</v>
      </c>
      <c r="K3" s="52" t="s">
        <v>161</v>
      </c>
    </row>
    <row r="4" spans="1:11" ht="36" x14ac:dyDescent="0.25">
      <c r="A4" s="60" t="s">
        <v>71</v>
      </c>
      <c r="B4" s="60" t="s">
        <v>71</v>
      </c>
      <c r="C4" s="61">
        <v>100000</v>
      </c>
      <c r="D4" s="62" t="s">
        <v>162</v>
      </c>
      <c r="E4" s="61">
        <v>100000</v>
      </c>
      <c r="F4" s="63"/>
      <c r="G4" s="61"/>
      <c r="H4" s="61"/>
      <c r="I4" s="61"/>
      <c r="J4" s="61"/>
      <c r="K4" s="61"/>
    </row>
    <row r="5" spans="1:11" ht="120" x14ac:dyDescent="0.25">
      <c r="A5" s="60" t="s">
        <v>72</v>
      </c>
      <c r="B5" s="60" t="s">
        <v>163</v>
      </c>
      <c r="C5" s="61">
        <v>100000</v>
      </c>
      <c r="D5" s="62" t="s">
        <v>164</v>
      </c>
      <c r="E5" s="61">
        <v>100000</v>
      </c>
      <c r="F5" s="63"/>
      <c r="G5" s="61"/>
      <c r="H5" s="61"/>
      <c r="I5" s="61"/>
      <c r="J5" s="61"/>
      <c r="K5" s="61"/>
    </row>
    <row r="6" spans="1:11" ht="96" x14ac:dyDescent="0.25">
      <c r="A6" s="60" t="s">
        <v>165</v>
      </c>
      <c r="B6" s="60" t="s">
        <v>166</v>
      </c>
      <c r="C6" s="61">
        <v>30000</v>
      </c>
      <c r="D6" s="62" t="s">
        <v>167</v>
      </c>
      <c r="E6" s="61">
        <v>30000</v>
      </c>
      <c r="F6" s="63"/>
      <c r="G6" s="61"/>
      <c r="H6" s="61"/>
      <c r="I6" s="61"/>
      <c r="J6" s="61"/>
      <c r="K6" s="61"/>
    </row>
    <row r="7" spans="1:11" ht="60" x14ac:dyDescent="0.25">
      <c r="A7" s="60" t="s">
        <v>73</v>
      </c>
      <c r="B7" s="60" t="s">
        <v>168</v>
      </c>
      <c r="C7" s="61">
        <v>30000</v>
      </c>
      <c r="D7" s="62" t="s">
        <v>162</v>
      </c>
      <c r="E7" s="61">
        <v>30000</v>
      </c>
      <c r="F7" s="63"/>
      <c r="G7" s="61"/>
      <c r="H7" s="61"/>
      <c r="I7" s="61"/>
      <c r="J7" s="61"/>
      <c r="K7" s="61"/>
    </row>
    <row r="8" spans="1:11" ht="48" x14ac:dyDescent="0.25">
      <c r="A8" s="64" t="s">
        <v>169</v>
      </c>
      <c r="B8" s="64" t="s">
        <v>170</v>
      </c>
      <c r="C8" s="65">
        <v>15000</v>
      </c>
      <c r="D8" s="66" t="s">
        <v>171</v>
      </c>
      <c r="E8" s="65">
        <v>15000</v>
      </c>
      <c r="F8" s="67"/>
      <c r="G8" s="65"/>
      <c r="H8" s="65"/>
      <c r="I8" s="65"/>
      <c r="J8" s="65"/>
      <c r="K8" s="65"/>
    </row>
    <row r="9" spans="1:11" ht="48" x14ac:dyDescent="0.25">
      <c r="A9" s="64" t="s">
        <v>74</v>
      </c>
      <c r="B9" s="64" t="s">
        <v>74</v>
      </c>
      <c r="C9" s="65">
        <v>30000</v>
      </c>
      <c r="D9" s="66" t="s">
        <v>172</v>
      </c>
      <c r="E9" s="67"/>
      <c r="F9" s="67"/>
      <c r="G9" s="65"/>
      <c r="H9" s="65"/>
      <c r="I9" s="65"/>
      <c r="J9" s="65"/>
      <c r="K9" s="65">
        <v>30000</v>
      </c>
    </row>
    <row r="10" spans="1:11" ht="72" x14ac:dyDescent="0.25">
      <c r="A10" s="64" t="s">
        <v>173</v>
      </c>
      <c r="B10" s="64" t="s">
        <v>174</v>
      </c>
      <c r="C10" s="65">
        <v>200000</v>
      </c>
      <c r="D10" s="66" t="s">
        <v>175</v>
      </c>
      <c r="E10" s="67"/>
      <c r="F10" s="67"/>
      <c r="G10" s="65">
        <v>200000</v>
      </c>
      <c r="H10" s="65"/>
      <c r="I10" s="65"/>
      <c r="J10" s="65"/>
      <c r="K10" s="65"/>
    </row>
    <row r="11" spans="1:11" ht="72" x14ac:dyDescent="0.25">
      <c r="A11" s="64" t="s">
        <v>176</v>
      </c>
      <c r="B11" s="64" t="s">
        <v>75</v>
      </c>
      <c r="C11" s="65">
        <v>63500</v>
      </c>
      <c r="D11" s="66" t="s">
        <v>162</v>
      </c>
      <c r="E11" s="67"/>
      <c r="F11" s="65">
        <v>63500</v>
      </c>
      <c r="G11" s="65"/>
      <c r="H11" s="65"/>
      <c r="I11" s="65"/>
      <c r="J11" s="65"/>
      <c r="K11" s="65"/>
    </row>
    <row r="12" spans="1:11" ht="72" x14ac:dyDescent="0.25">
      <c r="A12" s="64" t="s">
        <v>177</v>
      </c>
      <c r="B12" s="64" t="s">
        <v>76</v>
      </c>
      <c r="C12" s="65">
        <v>38100</v>
      </c>
      <c r="D12" s="66" t="s">
        <v>178</v>
      </c>
      <c r="E12" s="67"/>
      <c r="F12" s="67"/>
      <c r="G12" s="65">
        <v>19050</v>
      </c>
      <c r="H12" s="65"/>
      <c r="I12" s="65"/>
      <c r="J12" s="65">
        <v>19050</v>
      </c>
      <c r="K12" s="65"/>
    </row>
    <row r="13" spans="1:11" ht="48" x14ac:dyDescent="0.25">
      <c r="A13" s="64" t="s">
        <v>179</v>
      </c>
      <c r="B13" s="64" t="s">
        <v>180</v>
      </c>
      <c r="C13" s="65">
        <v>400000</v>
      </c>
      <c r="D13" s="66" t="s">
        <v>181</v>
      </c>
      <c r="E13" s="67"/>
      <c r="F13" s="67"/>
      <c r="G13" s="65"/>
      <c r="H13" s="65"/>
      <c r="I13" s="65">
        <v>200000</v>
      </c>
      <c r="J13" s="65"/>
      <c r="K13" s="65">
        <v>200000</v>
      </c>
    </row>
    <row r="14" spans="1:11" ht="72" x14ac:dyDescent="0.25">
      <c r="A14" s="64" t="s">
        <v>182</v>
      </c>
      <c r="B14" s="64" t="s">
        <v>183</v>
      </c>
      <c r="C14" s="65">
        <v>50000</v>
      </c>
      <c r="D14" s="66" t="s">
        <v>184</v>
      </c>
      <c r="E14" s="67"/>
      <c r="F14" s="67"/>
      <c r="G14" s="65"/>
      <c r="H14" s="65"/>
      <c r="I14" s="65"/>
      <c r="J14" s="65"/>
      <c r="K14" s="65">
        <v>50000</v>
      </c>
    </row>
    <row r="15" spans="1:11" ht="36" x14ac:dyDescent="0.25">
      <c r="A15" s="56" t="s">
        <v>185</v>
      </c>
      <c r="B15" s="56" t="s">
        <v>185</v>
      </c>
      <c r="C15" s="57">
        <v>30000</v>
      </c>
      <c r="D15" s="58" t="s">
        <v>186</v>
      </c>
      <c r="E15" s="59"/>
      <c r="F15" s="59"/>
      <c r="G15" s="57"/>
      <c r="H15" s="57"/>
      <c r="I15" s="57"/>
      <c r="J15" s="57"/>
      <c r="K15" s="57">
        <v>30000</v>
      </c>
    </row>
    <row r="16" spans="1:11" ht="48" x14ac:dyDescent="0.25">
      <c r="A16" s="56" t="s">
        <v>187</v>
      </c>
      <c r="B16" s="56" t="s">
        <v>77</v>
      </c>
      <c r="C16" s="57">
        <v>15000</v>
      </c>
      <c r="D16" s="58" t="s">
        <v>171</v>
      </c>
      <c r="E16" s="59"/>
      <c r="F16" s="59"/>
      <c r="G16" s="57"/>
      <c r="H16" s="57"/>
      <c r="I16" s="57"/>
      <c r="J16" s="57"/>
      <c r="K16" s="57">
        <v>15000</v>
      </c>
    </row>
    <row r="17" spans="1:11" ht="48" x14ac:dyDescent="0.25">
      <c r="A17" s="56" t="s">
        <v>188</v>
      </c>
      <c r="B17" s="56" t="s">
        <v>189</v>
      </c>
      <c r="C17" s="57">
        <v>200000</v>
      </c>
      <c r="D17" s="58" t="s">
        <v>175</v>
      </c>
      <c r="E17" s="59"/>
      <c r="F17" s="59"/>
      <c r="G17" s="57"/>
      <c r="H17" s="57"/>
      <c r="I17" s="57"/>
      <c r="J17" s="57"/>
      <c r="K17" s="57">
        <v>200000</v>
      </c>
    </row>
    <row r="18" spans="1:11" ht="60" x14ac:dyDescent="0.25">
      <c r="A18" s="56" t="s">
        <v>190</v>
      </c>
      <c r="B18" s="56" t="s">
        <v>78</v>
      </c>
      <c r="C18" s="57">
        <v>0</v>
      </c>
      <c r="D18" s="58" t="s">
        <v>191</v>
      </c>
      <c r="E18" s="59"/>
      <c r="F18" s="59"/>
      <c r="G18" s="57"/>
      <c r="H18" s="57"/>
      <c r="I18" s="57"/>
      <c r="J18" s="57"/>
      <c r="K18" s="57">
        <v>0</v>
      </c>
    </row>
    <row r="19" spans="1:11" ht="72" x14ac:dyDescent="0.25">
      <c r="A19" s="56" t="s">
        <v>192</v>
      </c>
      <c r="B19" s="56" t="s">
        <v>193</v>
      </c>
      <c r="C19" s="57">
        <v>22860</v>
      </c>
      <c r="D19" s="58" t="s">
        <v>194</v>
      </c>
      <c r="E19" s="59"/>
      <c r="F19" s="59"/>
      <c r="G19" s="57"/>
      <c r="H19" s="57"/>
      <c r="I19" s="57"/>
      <c r="J19" s="57"/>
      <c r="K19" s="57">
        <v>22860</v>
      </c>
    </row>
    <row r="20" spans="1:11" x14ac:dyDescent="0.25">
      <c r="B20" s="7"/>
      <c r="C20" s="54">
        <f>SUM(C4:C19)</f>
        <v>1324460</v>
      </c>
      <c r="D20" s="55"/>
      <c r="E20" s="54">
        <f t="shared" ref="E20:K20" si="0">SUM(E4:E19)</f>
        <v>275000</v>
      </c>
      <c r="F20" s="54">
        <f t="shared" si="0"/>
        <v>63500</v>
      </c>
      <c r="G20" s="54">
        <f t="shared" si="0"/>
        <v>219050</v>
      </c>
      <c r="H20" s="54">
        <f t="shared" si="0"/>
        <v>0</v>
      </c>
      <c r="I20" s="54">
        <f t="shared" si="0"/>
        <v>200000</v>
      </c>
      <c r="J20" s="54">
        <f t="shared" si="0"/>
        <v>19050</v>
      </c>
      <c r="K20" s="54">
        <f t="shared" si="0"/>
        <v>547860</v>
      </c>
    </row>
  </sheetData>
  <mergeCells count="6">
    <mergeCell ref="A1:K1"/>
    <mergeCell ref="A2:A3"/>
    <mergeCell ref="B2:B3"/>
    <mergeCell ref="C2:C3"/>
    <mergeCell ref="D2:D3"/>
    <mergeCell ref="E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Üzemeltetés</vt:lpstr>
      <vt:lpstr>NPV</vt:lpstr>
      <vt:lpstr>Ütemezett költségvetés</vt:lpstr>
      <vt:lpstr>Teljes költségvetés</vt:lpstr>
      <vt:lpstr>Marketing</vt:lpstr>
      <vt:lpstr>Nyilvánosság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Fodor Ágnes</dc:creator>
  <cp:lastModifiedBy>Fodor Ágnes</cp:lastModifiedBy>
  <dcterms:created xsi:type="dcterms:W3CDTF">2016-05-27T07:53:48Z</dcterms:created>
  <dcterms:modified xsi:type="dcterms:W3CDTF">2016-06-09T09:29:38Z</dcterms:modified>
</cp:coreProperties>
</file>