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la.Laszlone\Documents\Előterjesztések 2021\2021. április\Beszámoló 20210422\"/>
    </mc:Choice>
  </mc:AlternateContent>
  <bookViews>
    <workbookView xWindow="0" yWindow="0" windowWidth="20490" windowHeight="7020" tabRatio="951" firstSheet="8" activeTab="10"/>
  </bookViews>
  <sheets>
    <sheet name="Mérleg" sheetId="1" r:id="rId1"/>
    <sheet name="1a-Intézmények bevétele" sheetId="18" r:id="rId2"/>
    <sheet name="2-Helyi adóbevételek" sheetId="3" r:id="rId3"/>
    <sheet name="3-Egyéb bevételek" sheetId="42" r:id="rId4"/>
    <sheet name="Ig bev." sheetId="40" state="hidden" r:id="rId5"/>
    <sheet name="4-Átvett pe." sheetId="6" r:id="rId6"/>
    <sheet name="5-Kp.-i tám." sheetId="2" r:id="rId7"/>
    <sheet name="6-Normatíva " sheetId="31" r:id="rId8"/>
    <sheet name="7-Vagyonhasznositási bevétel" sheetId="43" r:id="rId9"/>
    <sheet name="8a-Intézmények kiadása" sheetId="17" r:id="rId10"/>
    <sheet name="8b-ÖK-i feladatok" sheetId="53" r:id="rId11"/>
    <sheet name="8c-PH-i feladatok" sheetId="44" r:id="rId12"/>
    <sheet name="PH.Ig ki." sheetId="41" state="hidden" r:id="rId13"/>
    <sheet name="9-Városüzemeltetés" sheetId="10" r:id="rId14"/>
    <sheet name="10-Szociálpolitikai kiadások" sheetId="48" r:id="rId15"/>
    <sheet name="11-Pénzátadás" sheetId="14" r:id="rId16"/>
    <sheet name="12-Külön keretek" sheetId="45" r:id="rId17"/>
    <sheet name="13-Beruházások" sheetId="46" r:id="rId18"/>
    <sheet name="14-Felújítások" sheetId="37" r:id="rId19"/>
    <sheet name="15-Létszám" sheetId="21" r:id="rId20"/>
    <sheet name="16-kötelezettségek" sheetId="56" r:id="rId21"/>
    <sheet name="17-Közvetett támogatások" sheetId="57" r:id="rId22"/>
    <sheet name="18-EU-s" sheetId="58" r:id="rId23"/>
    <sheet name="19-Mérlegadatok" sheetId="59" r:id="rId24"/>
    <sheet name="20-Vagyonkimutatás" sheetId="60" r:id="rId25"/>
    <sheet name="21-Pénzmaradvány" sheetId="61" r:id="rId26"/>
    <sheet name="22-Eredménykimutatás" sheetId="62" r:id="rId27"/>
    <sheet name="Munka1" sheetId="54" state="hidden" r:id="rId28"/>
  </sheets>
  <externalReferences>
    <externalReference r:id="rId29"/>
  </externalReferences>
  <definedNames>
    <definedName name="_xlnm._FilterDatabase" localSheetId="2" hidden="1">'2-Helyi adóbevételek'!$B$1:$F$15</definedName>
    <definedName name="GDP">[1]Háttéradatok!$B$22:$AG$28</definedName>
    <definedName name="nép">[1]Háttéradatok!$C$29:$AG$32</definedName>
    <definedName name="_xlnm.Print_Area" localSheetId="2">'2-Helyi adóbevételek'!$A$1:$F$15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1" l="1"/>
  <c r="L6" i="61"/>
  <c r="J6" i="61"/>
  <c r="J5" i="61"/>
  <c r="I5" i="61"/>
  <c r="J4" i="61"/>
  <c r="H4" i="61"/>
  <c r="I4" i="61"/>
  <c r="E48" i="46" l="1"/>
  <c r="B11" i="58"/>
  <c r="D8" i="58"/>
  <c r="D11" i="58" s="1"/>
  <c r="C7" i="58"/>
  <c r="C6" i="58"/>
  <c r="C4" i="58"/>
  <c r="C3" i="58"/>
  <c r="C11" i="58" s="1"/>
  <c r="B8" i="57" l="1"/>
  <c r="J11" i="61"/>
  <c r="L11" i="61"/>
  <c r="K10" i="61"/>
  <c r="J10" i="61"/>
  <c r="I10" i="61"/>
  <c r="H10" i="61"/>
  <c r="M8" i="61" l="1"/>
  <c r="C14" i="21" l="1"/>
  <c r="C13" i="21" l="1"/>
  <c r="B13" i="21"/>
  <c r="G7" i="60" l="1"/>
  <c r="E5" i="3"/>
  <c r="E4" i="3"/>
  <c r="E3" i="3"/>
  <c r="D20" i="45" l="1"/>
  <c r="K37" i="62"/>
  <c r="J37" i="62"/>
  <c r="I37" i="62"/>
  <c r="H37" i="62"/>
  <c r="G37" i="62"/>
  <c r="F37" i="62"/>
  <c r="E37" i="62"/>
  <c r="D37" i="62"/>
  <c r="C37" i="62"/>
  <c r="L36" i="62"/>
  <c r="L34" i="62"/>
  <c r="L33" i="62"/>
  <c r="L32" i="62"/>
  <c r="K31" i="62"/>
  <c r="K38" i="62" s="1"/>
  <c r="J31" i="62"/>
  <c r="I31" i="62"/>
  <c r="H31" i="62"/>
  <c r="G31" i="62"/>
  <c r="G38" i="62" s="1"/>
  <c r="F31" i="62"/>
  <c r="F38" i="62" s="1"/>
  <c r="E31" i="62"/>
  <c r="D31" i="62"/>
  <c r="D38" i="62" s="1"/>
  <c r="C31" i="62"/>
  <c r="L30" i="62"/>
  <c r="L29" i="62"/>
  <c r="L26" i="62"/>
  <c r="L24" i="62"/>
  <c r="L23" i="62"/>
  <c r="K22" i="62"/>
  <c r="J22" i="62"/>
  <c r="I22" i="62"/>
  <c r="H22" i="62"/>
  <c r="G22" i="62"/>
  <c r="F22" i="62"/>
  <c r="E22" i="62"/>
  <c r="D22" i="62"/>
  <c r="C22" i="62"/>
  <c r="L21" i="62"/>
  <c r="L20" i="62"/>
  <c r="L19" i="62"/>
  <c r="K18" i="62"/>
  <c r="J18" i="62"/>
  <c r="I18" i="62"/>
  <c r="H18" i="62"/>
  <c r="G18" i="62"/>
  <c r="F18" i="62"/>
  <c r="E18" i="62"/>
  <c r="D18" i="62"/>
  <c r="C18" i="62"/>
  <c r="L17" i="62"/>
  <c r="L16" i="62"/>
  <c r="L15" i="62"/>
  <c r="L14" i="62"/>
  <c r="K13" i="62"/>
  <c r="J13" i="62"/>
  <c r="I13" i="62"/>
  <c r="H13" i="62"/>
  <c r="G13" i="62"/>
  <c r="F13" i="62"/>
  <c r="E13" i="62"/>
  <c r="D13" i="62"/>
  <c r="C13" i="62"/>
  <c r="L12" i="62"/>
  <c r="L11" i="62"/>
  <c r="L10" i="62"/>
  <c r="L9" i="62"/>
  <c r="K8" i="62"/>
  <c r="J8" i="62"/>
  <c r="I8" i="62"/>
  <c r="H8" i="62"/>
  <c r="G8" i="62"/>
  <c r="F8" i="62"/>
  <c r="E8" i="62"/>
  <c r="D8" i="62"/>
  <c r="C8" i="62"/>
  <c r="L7" i="62"/>
  <c r="L6" i="62"/>
  <c r="K5" i="62"/>
  <c r="J5" i="62"/>
  <c r="I5" i="62"/>
  <c r="H5" i="62"/>
  <c r="G5" i="62"/>
  <c r="F5" i="62"/>
  <c r="E5" i="62"/>
  <c r="D5" i="62"/>
  <c r="C5" i="62"/>
  <c r="L4" i="62"/>
  <c r="L3" i="62"/>
  <c r="L2" i="62"/>
  <c r="G14" i="61"/>
  <c r="N14" i="61" s="1"/>
  <c r="O12" i="61"/>
  <c r="L12" i="61"/>
  <c r="K12" i="61"/>
  <c r="J12" i="61"/>
  <c r="F12" i="61"/>
  <c r="E12" i="61"/>
  <c r="D12" i="61"/>
  <c r="C12" i="61"/>
  <c r="B12" i="61"/>
  <c r="G11" i="61"/>
  <c r="N11" i="61" s="1"/>
  <c r="G10" i="61"/>
  <c r="N10" i="61" s="1"/>
  <c r="G9" i="61"/>
  <c r="N9" i="61" s="1"/>
  <c r="G8" i="61"/>
  <c r="N8" i="61" s="1"/>
  <c r="G7" i="61"/>
  <c r="N7" i="61" s="1"/>
  <c r="M12" i="61"/>
  <c r="I12" i="61"/>
  <c r="H12" i="61"/>
  <c r="G6" i="61"/>
  <c r="N6" i="61" s="1"/>
  <c r="G5" i="61"/>
  <c r="N5" i="61" s="1"/>
  <c r="G4" i="61"/>
  <c r="N4" i="61" s="1"/>
  <c r="G3" i="61"/>
  <c r="N3" i="61" s="1"/>
  <c r="P23" i="60"/>
  <c r="O23" i="60"/>
  <c r="N23" i="60"/>
  <c r="M23" i="60"/>
  <c r="K23" i="60"/>
  <c r="J23" i="60"/>
  <c r="H23" i="60"/>
  <c r="G23" i="60"/>
  <c r="F23" i="60"/>
  <c r="D23" i="60"/>
  <c r="C23" i="60"/>
  <c r="L22" i="60"/>
  <c r="I22" i="60"/>
  <c r="E22" i="60"/>
  <c r="L21" i="60"/>
  <c r="I21" i="60"/>
  <c r="E21" i="60"/>
  <c r="L20" i="60"/>
  <c r="I20" i="60"/>
  <c r="E20" i="60"/>
  <c r="L19" i="60"/>
  <c r="I19" i="60"/>
  <c r="E19" i="60"/>
  <c r="P18" i="60"/>
  <c r="O18" i="60"/>
  <c r="N18" i="60"/>
  <c r="M18" i="60"/>
  <c r="K18" i="60"/>
  <c r="J18" i="60"/>
  <c r="H18" i="60"/>
  <c r="G18" i="60"/>
  <c r="F18" i="60"/>
  <c r="D18" i="60"/>
  <c r="C18" i="60"/>
  <c r="L17" i="60"/>
  <c r="I17" i="60"/>
  <c r="E17" i="60"/>
  <c r="L16" i="60"/>
  <c r="I16" i="60"/>
  <c r="E16" i="60"/>
  <c r="F15" i="60"/>
  <c r="F24" i="60" s="1"/>
  <c r="E14" i="60"/>
  <c r="P13" i="60"/>
  <c r="O13" i="60"/>
  <c r="N13" i="60"/>
  <c r="M13" i="60"/>
  <c r="K13" i="60"/>
  <c r="J13" i="60"/>
  <c r="L13" i="60" s="1"/>
  <c r="H13" i="60"/>
  <c r="G13" i="60"/>
  <c r="D13" i="60"/>
  <c r="C13" i="60"/>
  <c r="L12" i="60"/>
  <c r="I12" i="60"/>
  <c r="E12" i="60"/>
  <c r="L11" i="60"/>
  <c r="I11" i="60"/>
  <c r="E11" i="60"/>
  <c r="L10" i="60"/>
  <c r="I10" i="60"/>
  <c r="E10" i="60"/>
  <c r="P9" i="60"/>
  <c r="P15" i="60" s="1"/>
  <c r="O9" i="60"/>
  <c r="N9" i="60"/>
  <c r="M9" i="60"/>
  <c r="K9" i="60"/>
  <c r="J9" i="60"/>
  <c r="H9" i="60"/>
  <c r="G9" i="60"/>
  <c r="D9" i="60"/>
  <c r="C9" i="60"/>
  <c r="E8" i="60"/>
  <c r="L7" i="60"/>
  <c r="I7" i="60"/>
  <c r="E7" i="60"/>
  <c r="L6" i="60"/>
  <c r="I6" i="60"/>
  <c r="E6" i="60"/>
  <c r="L5" i="60"/>
  <c r="I5" i="60"/>
  <c r="E5" i="60"/>
  <c r="L4" i="60"/>
  <c r="I4" i="60"/>
  <c r="E4" i="60"/>
  <c r="L3" i="60"/>
  <c r="I3" i="60"/>
  <c r="E3" i="60"/>
  <c r="Z12" i="59"/>
  <c r="Y12" i="59"/>
  <c r="X12" i="59"/>
  <c r="W12" i="59"/>
  <c r="V12" i="59"/>
  <c r="T12" i="59"/>
  <c r="S12" i="59"/>
  <c r="R12" i="59"/>
  <c r="Q12" i="59"/>
  <c r="P12" i="59"/>
  <c r="O12" i="59"/>
  <c r="M12" i="59"/>
  <c r="L12" i="59"/>
  <c r="K12" i="59"/>
  <c r="J12" i="59"/>
  <c r="I12" i="59"/>
  <c r="G12" i="59"/>
  <c r="F12" i="59"/>
  <c r="E12" i="59"/>
  <c r="D12" i="59"/>
  <c r="C12" i="59"/>
  <c r="B12" i="59"/>
  <c r="AA11" i="59"/>
  <c r="U11" i="59"/>
  <c r="N11" i="59"/>
  <c r="H11" i="59"/>
  <c r="AA10" i="59"/>
  <c r="U10" i="59"/>
  <c r="N10" i="59"/>
  <c r="H10" i="59"/>
  <c r="AA9" i="59"/>
  <c r="U9" i="59"/>
  <c r="N9" i="59"/>
  <c r="H9" i="59"/>
  <c r="AA8" i="59"/>
  <c r="U8" i="59"/>
  <c r="N8" i="59"/>
  <c r="H8" i="59"/>
  <c r="AA7" i="59"/>
  <c r="U7" i="59"/>
  <c r="N7" i="59"/>
  <c r="H7" i="59"/>
  <c r="AA6" i="59"/>
  <c r="U6" i="59"/>
  <c r="N6" i="59"/>
  <c r="H6" i="59"/>
  <c r="AA5" i="59"/>
  <c r="U5" i="59"/>
  <c r="N5" i="59"/>
  <c r="H5" i="59"/>
  <c r="AA4" i="59"/>
  <c r="U4" i="59"/>
  <c r="N4" i="59"/>
  <c r="H4" i="59"/>
  <c r="AA3" i="59"/>
  <c r="U3" i="59"/>
  <c r="N3" i="59"/>
  <c r="H3" i="59"/>
  <c r="B9" i="57"/>
  <c r="I7" i="56"/>
  <c r="H7" i="56"/>
  <c r="G7" i="56"/>
  <c r="F7" i="56"/>
  <c r="E7" i="56"/>
  <c r="D7" i="56"/>
  <c r="C7" i="56"/>
  <c r="B7" i="56"/>
  <c r="J38" i="62" l="1"/>
  <c r="N12" i="59"/>
  <c r="N15" i="60"/>
  <c r="N24" i="60" s="1"/>
  <c r="C15" i="60"/>
  <c r="C24" i="60" s="1"/>
  <c r="E18" i="60"/>
  <c r="D15" i="60"/>
  <c r="D24" i="60" s="1"/>
  <c r="P24" i="60"/>
  <c r="E23" i="60"/>
  <c r="H15" i="60"/>
  <c r="H24" i="60" s="1"/>
  <c r="K15" i="60"/>
  <c r="K24" i="60" s="1"/>
  <c r="H38" i="62"/>
  <c r="I38" i="62"/>
  <c r="H12" i="59"/>
  <c r="M15" i="60"/>
  <c r="M24" i="60" s="1"/>
  <c r="O15" i="60"/>
  <c r="O24" i="60" s="1"/>
  <c r="J25" i="62"/>
  <c r="L31" i="62"/>
  <c r="C25" i="62"/>
  <c r="E38" i="62"/>
  <c r="L18" i="60"/>
  <c r="I23" i="60"/>
  <c r="E13" i="60"/>
  <c r="I18" i="60"/>
  <c r="L37" i="62"/>
  <c r="I13" i="60"/>
  <c r="N12" i="61"/>
  <c r="G12" i="61"/>
  <c r="L23" i="60"/>
  <c r="L9" i="60"/>
  <c r="L15" i="60"/>
  <c r="L24" i="60" s="1"/>
  <c r="I9" i="60"/>
  <c r="E9" i="60"/>
  <c r="U12" i="59"/>
  <c r="AA12" i="59"/>
  <c r="K25" i="62"/>
  <c r="K39" i="62" s="1"/>
  <c r="I25" i="62"/>
  <c r="G25" i="62"/>
  <c r="G39" i="62" s="1"/>
  <c r="E25" i="62"/>
  <c r="E39" i="62" s="1"/>
  <c r="L22" i="62"/>
  <c r="D25" i="62"/>
  <c r="D39" i="62" s="1"/>
  <c r="H25" i="62"/>
  <c r="H39" i="62" s="1"/>
  <c r="L18" i="62"/>
  <c r="L13" i="62"/>
  <c r="F25" i="62"/>
  <c r="F39" i="62" s="1"/>
  <c r="L8" i="62"/>
  <c r="C38" i="62"/>
  <c r="L38" i="62" s="1"/>
  <c r="L5" i="62"/>
  <c r="E15" i="60"/>
  <c r="E24" i="60" s="1"/>
  <c r="J15" i="60"/>
  <c r="J24" i="60" s="1"/>
  <c r="G15" i="60"/>
  <c r="G24" i="60" s="1"/>
  <c r="I39" i="62" l="1"/>
  <c r="J39" i="62"/>
  <c r="I15" i="60"/>
  <c r="L25" i="62"/>
  <c r="C39" i="62"/>
  <c r="L39" i="62" s="1"/>
  <c r="I24" i="60" l="1"/>
  <c r="D13" i="40"/>
  <c r="E14" i="6"/>
  <c r="D17" i="40"/>
  <c r="F6" i="2" l="1"/>
  <c r="F8" i="2"/>
  <c r="F6" i="48"/>
  <c r="F7" i="48"/>
  <c r="F8" i="48"/>
  <c r="F9" i="48"/>
  <c r="F12" i="48"/>
  <c r="F14" i="48"/>
  <c r="F15" i="48"/>
  <c r="F17" i="48"/>
  <c r="F19" i="48"/>
  <c r="F20" i="48"/>
  <c r="F13" i="14"/>
  <c r="F14" i="14"/>
  <c r="F15" i="14"/>
  <c r="F16" i="14"/>
  <c r="F19" i="14"/>
  <c r="F20" i="14"/>
  <c r="F21" i="14"/>
  <c r="F22" i="14"/>
  <c r="F23" i="14"/>
  <c r="F24" i="14"/>
  <c r="F25" i="14"/>
  <c r="F26" i="14"/>
  <c r="F28" i="14"/>
  <c r="F29" i="14"/>
  <c r="F30" i="14"/>
  <c r="F31" i="14"/>
  <c r="F32" i="14"/>
  <c r="F12" i="14"/>
  <c r="F5" i="14"/>
  <c r="F7" i="14"/>
  <c r="F4" i="14"/>
  <c r="F18" i="45"/>
  <c r="F21" i="45"/>
  <c r="F22" i="45"/>
  <c r="F23" i="45"/>
  <c r="F24" i="45"/>
  <c r="F27" i="45"/>
  <c r="F28" i="45"/>
  <c r="F32" i="45"/>
  <c r="F33" i="45"/>
  <c r="F6" i="45"/>
  <c r="F7" i="45"/>
  <c r="F13" i="45"/>
  <c r="F14" i="45"/>
  <c r="F15" i="45"/>
  <c r="F3" i="45"/>
  <c r="F50" i="46"/>
  <c r="F11" i="46"/>
  <c r="F12" i="46"/>
  <c r="F13" i="46"/>
  <c r="F17" i="46"/>
  <c r="F20" i="46"/>
  <c r="F21" i="46"/>
  <c r="F26" i="46"/>
  <c r="F27" i="46"/>
  <c r="F28" i="46"/>
  <c r="F29" i="46"/>
  <c r="F32" i="46"/>
  <c r="F33" i="46"/>
  <c r="F35" i="46"/>
  <c r="F37" i="46"/>
  <c r="F39" i="46"/>
  <c r="F40" i="46"/>
  <c r="F41" i="46"/>
  <c r="F43" i="46"/>
  <c r="F45" i="46"/>
  <c r="F46" i="46"/>
  <c r="F47" i="46"/>
  <c r="F8" i="37"/>
  <c r="F9" i="37"/>
  <c r="F10" i="37"/>
  <c r="F14" i="37"/>
  <c r="F16" i="37"/>
  <c r="T23" i="53"/>
  <c r="E4" i="37"/>
  <c r="E36" i="46"/>
  <c r="F36" i="46" s="1"/>
  <c r="E11" i="45"/>
  <c r="F11" i="45" s="1"/>
  <c r="E8" i="45" l="1"/>
  <c r="E9" i="45"/>
  <c r="E6" i="37" l="1"/>
  <c r="F6" i="37" s="1"/>
  <c r="E7" i="37"/>
  <c r="F7" i="37" s="1"/>
  <c r="E6" i="46"/>
  <c r="E4" i="46"/>
  <c r="F4" i="46" s="1"/>
  <c r="R11" i="53" l="1"/>
  <c r="D29" i="45"/>
  <c r="J11" i="53"/>
  <c r="E29" i="45"/>
  <c r="F29" i="45" s="1"/>
  <c r="D25" i="40"/>
  <c r="D5" i="40" l="1"/>
  <c r="D24" i="40"/>
  <c r="E17" i="43"/>
  <c r="E7" i="2"/>
  <c r="G26" i="31"/>
  <c r="G45" i="31"/>
  <c r="E6" i="43"/>
  <c r="P14" i="41" l="1"/>
  <c r="O11" i="41"/>
  <c r="L7" i="41"/>
  <c r="D6" i="46" l="1"/>
  <c r="F6" i="46" s="1"/>
  <c r="D30" i="6"/>
  <c r="L15" i="1"/>
  <c r="E16" i="1"/>
  <c r="D10" i="46" l="1"/>
  <c r="D5" i="2"/>
  <c r="J14" i="41" l="1"/>
  <c r="K14" i="41"/>
  <c r="O14" i="44"/>
  <c r="O15" i="44"/>
  <c r="L14" i="44"/>
  <c r="L22" i="41"/>
  <c r="L9" i="44"/>
  <c r="K5" i="44"/>
  <c r="J5" i="44"/>
  <c r="J11" i="44"/>
  <c r="F37" i="31"/>
  <c r="F40" i="31"/>
  <c r="D16" i="48" l="1"/>
  <c r="F16" i="48" s="1"/>
  <c r="D5" i="48"/>
  <c r="F5" i="48" s="1"/>
  <c r="D5" i="37"/>
  <c r="D11" i="48"/>
  <c r="F11" i="48" s="1"/>
  <c r="K55" i="10"/>
  <c r="F10" i="42"/>
  <c r="J13" i="53"/>
  <c r="D17" i="37"/>
  <c r="F17" i="37" s="1"/>
  <c r="D18" i="14"/>
  <c r="F18" i="14" s="1"/>
  <c r="F28" i="6"/>
  <c r="F44" i="31"/>
  <c r="F15" i="31"/>
  <c r="D3" i="2"/>
  <c r="D9" i="2" s="1"/>
  <c r="E30" i="46" l="1"/>
  <c r="Q48" i="10"/>
  <c r="E22" i="46"/>
  <c r="F22" i="46" s="1"/>
  <c r="E14" i="46"/>
  <c r="F14" i="46" s="1"/>
  <c r="E25" i="45"/>
  <c r="F25" i="45" s="1"/>
  <c r="Q55" i="10"/>
  <c r="E10" i="46"/>
  <c r="F10" i="46" s="1"/>
  <c r="E7" i="46"/>
  <c r="F7" i="46" s="1"/>
  <c r="E16" i="46"/>
  <c r="Q15" i="10"/>
  <c r="E16" i="45"/>
  <c r="F16" i="45" s="1"/>
  <c r="E9" i="46"/>
  <c r="E12" i="45" l="1"/>
  <c r="E15" i="37"/>
  <c r="F15" i="37" s="1"/>
  <c r="E10" i="45"/>
  <c r="E13" i="48"/>
  <c r="F13" i="48" s="1"/>
  <c r="E10" i="48"/>
  <c r="S11" i="53"/>
  <c r="E5" i="46"/>
  <c r="Q3" i="10"/>
  <c r="E4" i="6"/>
  <c r="E24" i="43"/>
  <c r="E6" i="3"/>
  <c r="T14" i="44" l="1"/>
  <c r="W14" i="44"/>
  <c r="T15" i="44"/>
  <c r="W15" i="44"/>
  <c r="O16" i="18"/>
  <c r="E8" i="43"/>
  <c r="E4" i="43"/>
  <c r="H17" i="40"/>
  <c r="H7" i="40"/>
  <c r="H8" i="40"/>
  <c r="D44" i="46"/>
  <c r="F44" i="46" s="1"/>
  <c r="K45" i="10" l="1"/>
  <c r="K50" i="10"/>
  <c r="K13" i="44" l="1"/>
  <c r="J13" i="44"/>
  <c r="L15" i="44"/>
  <c r="L4" i="41"/>
  <c r="L13" i="53"/>
  <c r="O13" i="53"/>
  <c r="D31" i="45"/>
  <c r="F31" i="45" s="1"/>
  <c r="D21" i="48"/>
  <c r="F21" i="48" s="1"/>
  <c r="D18" i="48"/>
  <c r="F18" i="48" s="1"/>
  <c r="D4" i="48"/>
  <c r="F4" i="48" s="1"/>
  <c r="D17" i="14"/>
  <c r="F17" i="14" s="1"/>
  <c r="D10" i="45"/>
  <c r="F10" i="45" s="1"/>
  <c r="D5" i="45"/>
  <c r="F5" i="45" s="1"/>
  <c r="D4" i="45"/>
  <c r="F4" i="45" s="1"/>
  <c r="D9" i="46"/>
  <c r="F9" i="46" s="1"/>
  <c r="D6" i="3"/>
  <c r="D10" i="6"/>
  <c r="E10" i="6" l="1"/>
  <c r="E12" i="6" l="1"/>
  <c r="E16" i="6" s="1"/>
  <c r="S16" i="44" l="1"/>
  <c r="R16" i="44"/>
  <c r="H40" i="40"/>
  <c r="O15" i="18"/>
  <c r="K36" i="10" l="1"/>
  <c r="K11" i="10"/>
  <c r="K6" i="10"/>
  <c r="K4" i="10"/>
  <c r="F38" i="31" l="1"/>
  <c r="F36" i="31"/>
  <c r="F32" i="31"/>
  <c r="F31" i="31"/>
  <c r="F30" i="31"/>
  <c r="F29" i="31"/>
  <c r="F26" i="31" s="1"/>
  <c r="F21" i="31"/>
  <c r="F19" i="31"/>
  <c r="D42" i="46" l="1"/>
  <c r="F42" i="46" s="1"/>
  <c r="D4" i="37"/>
  <c r="F4" i="37" s="1"/>
  <c r="C48" i="46" l="1"/>
  <c r="F5" i="6" l="1"/>
  <c r="F6" i="6"/>
  <c r="F7" i="6"/>
  <c r="F8" i="6"/>
  <c r="F9" i="6"/>
  <c r="F10" i="6"/>
  <c r="F11" i="6"/>
  <c r="F13" i="6"/>
  <c r="W24" i="17" l="1"/>
  <c r="X24" i="17"/>
  <c r="L11" i="53" l="1"/>
  <c r="K11" i="53"/>
  <c r="D4" i="6"/>
  <c r="D16" i="6" s="1"/>
  <c r="G40" i="40"/>
  <c r="L16" i="44"/>
  <c r="K16" i="44"/>
  <c r="J16" i="44"/>
  <c r="K30" i="53"/>
  <c r="J30" i="53"/>
  <c r="K8" i="44"/>
  <c r="J8" i="44"/>
  <c r="L28" i="53"/>
  <c r="L26" i="53"/>
  <c r="D10" i="48"/>
  <c r="F10" i="48" s="1"/>
  <c r="D9" i="45"/>
  <c r="F9" i="45" s="1"/>
  <c r="D8" i="45"/>
  <c r="F8" i="45" s="1"/>
  <c r="H24" i="18"/>
  <c r="Q6" i="17"/>
  <c r="M3" i="17"/>
  <c r="E5" i="37"/>
  <c r="F5" i="37" s="1"/>
  <c r="E30" i="6" l="1"/>
  <c r="T16" i="44" l="1"/>
  <c r="D5" i="46" l="1"/>
  <c r="F5" i="46" s="1"/>
  <c r="D38" i="46" l="1"/>
  <c r="F38" i="46" s="1"/>
  <c r="F27" i="6"/>
  <c r="D6" i="14" l="1"/>
  <c r="F6" i="14" s="1"/>
  <c r="D27" i="14"/>
  <c r="F27" i="14" s="1"/>
  <c r="C35" i="14"/>
  <c r="E35" i="14"/>
  <c r="D35" i="14" l="1"/>
  <c r="F35" i="14" s="1"/>
  <c r="F39" i="31"/>
  <c r="F42" i="31"/>
  <c r="F35" i="31"/>
  <c r="F5" i="31"/>
  <c r="K17" i="10" l="1"/>
  <c r="D30" i="46" l="1"/>
  <c r="F30" i="46" s="1"/>
  <c r="D26" i="45"/>
  <c r="F26" i="45" s="1"/>
  <c r="K16" i="10"/>
  <c r="D16" i="46"/>
  <c r="D12" i="45"/>
  <c r="F12" i="45" s="1"/>
  <c r="D48" i="46" l="1"/>
  <c r="F16" i="46"/>
  <c r="E13" i="37"/>
  <c r="E37" i="45"/>
  <c r="F37" i="45" s="1"/>
  <c r="E20" i="37" l="1"/>
  <c r="F13" i="37"/>
  <c r="F12" i="6"/>
  <c r="E30" i="45" l="1"/>
  <c r="F30" i="45" s="1"/>
  <c r="E19" i="45"/>
  <c r="F19" i="45" s="1"/>
  <c r="E34" i="46"/>
  <c r="F48" i="46" l="1"/>
  <c r="F34" i="46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4" i="10"/>
  <c r="T3" i="10"/>
  <c r="F14" i="1" l="1"/>
  <c r="E52" i="46" l="1"/>
  <c r="E53" i="46" l="1"/>
  <c r="F5" i="3"/>
  <c r="F6" i="3"/>
  <c r="F4" i="3"/>
  <c r="F3" i="3"/>
  <c r="F17" i="42"/>
  <c r="F16" i="42"/>
  <c r="F5" i="42"/>
  <c r="F6" i="42"/>
  <c r="F7" i="42"/>
  <c r="F8" i="42"/>
  <c r="F9" i="42"/>
  <c r="F19" i="6"/>
  <c r="F20" i="6"/>
  <c r="F21" i="6"/>
  <c r="F22" i="6"/>
  <c r="F23" i="6"/>
  <c r="F24" i="6"/>
  <c r="F26" i="6"/>
  <c r="F18" i="6"/>
  <c r="F4" i="6"/>
  <c r="F3" i="6"/>
  <c r="F5" i="2"/>
  <c r="F4" i="2"/>
  <c r="F3" i="2"/>
  <c r="F5" i="43"/>
  <c r="F6" i="43"/>
  <c r="F8" i="43"/>
  <c r="F13" i="43"/>
  <c r="F15" i="43"/>
  <c r="F16" i="43"/>
  <c r="F17" i="43"/>
  <c r="F18" i="43"/>
  <c r="F19" i="43"/>
  <c r="F20" i="43"/>
  <c r="F21" i="43"/>
  <c r="F22" i="43"/>
  <c r="F23" i="43"/>
  <c r="F4" i="43"/>
  <c r="P25" i="18"/>
  <c r="M24" i="18"/>
  <c r="N24" i="18"/>
  <c r="O24" i="18"/>
  <c r="P22" i="18"/>
  <c r="P19" i="18"/>
  <c r="P12" i="18"/>
  <c r="P9" i="18"/>
  <c r="P6" i="18"/>
  <c r="P3" i="18"/>
  <c r="M16" i="18"/>
  <c r="H18" i="18"/>
  <c r="H16" i="18"/>
  <c r="G16" i="1" l="1"/>
  <c r="L16" i="1"/>
  <c r="I5" i="44" l="1"/>
  <c r="I12" i="44"/>
  <c r="I13" i="44"/>
  <c r="I14" i="44"/>
  <c r="I15" i="44"/>
  <c r="I11" i="44"/>
  <c r="I8" i="44"/>
  <c r="I9" i="44"/>
  <c r="I7" i="44"/>
  <c r="I4" i="44"/>
  <c r="M18" i="18"/>
  <c r="N15" i="18"/>
  <c r="I30" i="53" l="1"/>
  <c r="Q30" i="53"/>
  <c r="G41" i="31" l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19" i="53"/>
  <c r="I20" i="53"/>
  <c r="I21" i="53"/>
  <c r="I22" i="53"/>
  <c r="I23" i="53"/>
  <c r="I24" i="53"/>
  <c r="I25" i="53"/>
  <c r="I26" i="53"/>
  <c r="I27" i="53"/>
  <c r="I28" i="53"/>
  <c r="I29" i="53"/>
  <c r="I4" i="53"/>
  <c r="N49" i="10"/>
  <c r="U49" i="10" s="1"/>
  <c r="N50" i="10"/>
  <c r="U50" i="10" s="1"/>
  <c r="N51" i="10"/>
  <c r="U51" i="10" s="1"/>
  <c r="N52" i="10"/>
  <c r="U52" i="10" s="1"/>
  <c r="N53" i="10"/>
  <c r="U53" i="10" s="1"/>
  <c r="N55" i="10"/>
  <c r="U55" i="10" s="1"/>
  <c r="H48" i="10"/>
  <c r="H49" i="10"/>
  <c r="H50" i="10"/>
  <c r="H51" i="10"/>
  <c r="H52" i="10"/>
  <c r="H53" i="10"/>
  <c r="H54" i="10"/>
  <c r="H55" i="10"/>
  <c r="N54" i="10"/>
  <c r="F28" i="43"/>
  <c r="Q29" i="53" l="1"/>
  <c r="I15" i="18" l="1"/>
  <c r="H15" i="18"/>
  <c r="I10" i="18"/>
  <c r="H10" i="18"/>
  <c r="G10" i="18"/>
  <c r="B10" i="18"/>
  <c r="I7" i="18"/>
  <c r="H7" i="18"/>
  <c r="G7" i="18"/>
  <c r="E10" i="17" l="1"/>
  <c r="D10" i="17"/>
  <c r="C10" i="17"/>
  <c r="B10" i="17"/>
  <c r="D5" i="18"/>
  <c r="C5" i="18"/>
  <c r="B5" i="18"/>
  <c r="D35" i="45" l="1"/>
  <c r="C35" i="45"/>
  <c r="C30" i="6"/>
  <c r="E35" i="45" l="1"/>
  <c r="F35" i="45" s="1"/>
  <c r="Y29" i="53" l="1"/>
  <c r="Z29" i="53" s="1"/>
  <c r="H18" i="10" l="1"/>
  <c r="N18" i="10"/>
  <c r="U18" i="10" s="1"/>
  <c r="Y28" i="53" l="1"/>
  <c r="Y30" i="53"/>
  <c r="Z30" i="53" s="1"/>
  <c r="Q28" i="53"/>
  <c r="Y27" i="53"/>
  <c r="Q27" i="53"/>
  <c r="I24" i="18"/>
  <c r="G24" i="18"/>
  <c r="G20" i="18"/>
  <c r="H20" i="18"/>
  <c r="D14" i="17"/>
  <c r="C14" i="17"/>
  <c r="B14" i="17"/>
  <c r="O14" i="17"/>
  <c r="L14" i="17"/>
  <c r="M14" i="17"/>
  <c r="K14" i="17"/>
  <c r="J14" i="17"/>
  <c r="D7" i="17"/>
  <c r="C7" i="17"/>
  <c r="B7" i="17"/>
  <c r="Z27" i="53" l="1"/>
  <c r="Z28" i="53"/>
  <c r="D10" i="14"/>
  <c r="C10" i="14"/>
  <c r="E10" i="14" l="1"/>
  <c r="F10" i="14" s="1"/>
  <c r="Y16" i="44" l="1"/>
  <c r="Q16" i="44" l="1"/>
  <c r="Z16" i="44" s="1"/>
  <c r="L24" i="17" l="1"/>
  <c r="M24" i="17"/>
  <c r="N24" i="17"/>
  <c r="O24" i="17"/>
  <c r="P24" i="17"/>
  <c r="K24" i="17"/>
  <c r="J24" i="17"/>
  <c r="Q25" i="17"/>
  <c r="K25" i="18" s="1"/>
  <c r="I25" i="17"/>
  <c r="F25" i="18" s="1"/>
  <c r="E25" i="18" s="1"/>
  <c r="D24" i="17"/>
  <c r="E24" i="17"/>
  <c r="F24" i="17"/>
  <c r="G24" i="17"/>
  <c r="C24" i="17"/>
  <c r="B24" i="17"/>
  <c r="S10" i="17"/>
  <c r="T10" i="17"/>
  <c r="E17" i="31"/>
  <c r="F17" i="31"/>
  <c r="I24" i="17" l="1"/>
  <c r="F24" i="18" s="1"/>
  <c r="E24" i="18" s="1"/>
  <c r="Q24" i="17"/>
  <c r="K24" i="18" s="1"/>
  <c r="L24" i="18" l="1"/>
  <c r="R24" i="17"/>
  <c r="Y25" i="17"/>
  <c r="S24" i="17"/>
  <c r="T24" i="17"/>
  <c r="Y18" i="53" l="1"/>
  <c r="L10" i="17" l="1"/>
  <c r="E23" i="48" l="1"/>
  <c r="P5" i="17" l="1"/>
  <c r="E41" i="31" l="1"/>
  <c r="F41" i="31"/>
  <c r="Y17" i="44" l="1"/>
  <c r="Y5" i="44"/>
  <c r="Y7" i="44"/>
  <c r="Y8" i="44"/>
  <c r="Y9" i="44"/>
  <c r="Z9" i="44" s="1"/>
  <c r="Y11" i="44"/>
  <c r="Y12" i="44"/>
  <c r="Y13" i="44"/>
  <c r="Y14" i="44"/>
  <c r="Y15" i="44"/>
  <c r="Z15" i="44" s="1"/>
  <c r="Y4" i="44"/>
  <c r="Q17" i="44"/>
  <c r="Q11" i="44"/>
  <c r="Q12" i="44"/>
  <c r="Q13" i="44"/>
  <c r="Q14" i="44"/>
  <c r="Q15" i="44"/>
  <c r="Q7" i="44"/>
  <c r="Q8" i="44"/>
  <c r="Q9" i="44"/>
  <c r="Q5" i="44"/>
  <c r="Q4" i="44"/>
  <c r="X32" i="53"/>
  <c r="Y17" i="53"/>
  <c r="Z17" i="53" s="1"/>
  <c r="Y19" i="53"/>
  <c r="Y20" i="53"/>
  <c r="Y21" i="53"/>
  <c r="Y22" i="53"/>
  <c r="Y23" i="53"/>
  <c r="Z23" i="53" s="1"/>
  <c r="Y24" i="53"/>
  <c r="Z24" i="53" s="1"/>
  <c r="Y25" i="53"/>
  <c r="Z25" i="53" s="1"/>
  <c r="Y26" i="53"/>
  <c r="Z26" i="53" s="1"/>
  <c r="Y4" i="53"/>
  <c r="Y5" i="53"/>
  <c r="Y6" i="53"/>
  <c r="Y7" i="53"/>
  <c r="Z7" i="53" s="1"/>
  <c r="Y8" i="53"/>
  <c r="Z8" i="53" s="1"/>
  <c r="Y9" i="53"/>
  <c r="Z9" i="53" s="1"/>
  <c r="Y10" i="53"/>
  <c r="Z10" i="53" s="1"/>
  <c r="Y11" i="53"/>
  <c r="Z11" i="53" s="1"/>
  <c r="Y12" i="53"/>
  <c r="Y13" i="53"/>
  <c r="Y14" i="53"/>
  <c r="Y15" i="53"/>
  <c r="Z15" i="53" s="1"/>
  <c r="Y16" i="53"/>
  <c r="Z16" i="53" s="1"/>
  <c r="P32" i="53"/>
  <c r="Q5" i="53"/>
  <c r="Q6" i="53"/>
  <c r="Q7" i="53"/>
  <c r="Q8" i="53"/>
  <c r="Q9" i="53"/>
  <c r="Q10" i="53"/>
  <c r="Q11" i="53"/>
  <c r="Q12" i="53"/>
  <c r="Q13" i="53"/>
  <c r="Q14" i="53"/>
  <c r="Q15" i="53"/>
  <c r="Q16" i="53"/>
  <c r="Q17" i="53"/>
  <c r="Q18" i="53"/>
  <c r="Z18" i="53" s="1"/>
  <c r="Q19" i="53"/>
  <c r="Q20" i="53"/>
  <c r="Q21" i="53"/>
  <c r="Q22" i="53"/>
  <c r="Q23" i="53"/>
  <c r="Q24" i="53"/>
  <c r="Q25" i="53"/>
  <c r="Q26" i="53"/>
  <c r="Q4" i="53"/>
  <c r="F45" i="31"/>
  <c r="Z13" i="44" l="1"/>
  <c r="Z12" i="44"/>
  <c r="Z11" i="44"/>
  <c r="Z22" i="53"/>
  <c r="Z8" i="44"/>
  <c r="Z14" i="53"/>
  <c r="Z6" i="53"/>
  <c r="Z21" i="53"/>
  <c r="Z4" i="44"/>
  <c r="Z7" i="44"/>
  <c r="Z13" i="53"/>
  <c r="Z5" i="53"/>
  <c r="Z20" i="53"/>
  <c r="Z5" i="44"/>
  <c r="Z12" i="53"/>
  <c r="Z4" i="53"/>
  <c r="Z19" i="53"/>
  <c r="Z14" i="44"/>
  <c r="Z17" i="44"/>
  <c r="E9" i="3"/>
  <c r="M15" i="18"/>
  <c r="E26" i="43" l="1"/>
  <c r="F30" i="6" l="1"/>
  <c r="P21" i="18" l="1"/>
  <c r="P13" i="18"/>
  <c r="P11" i="18"/>
  <c r="P8" i="18"/>
  <c r="N48" i="10" l="1"/>
  <c r="U48" i="10" s="1"/>
  <c r="C23" i="48" l="1"/>
  <c r="I9" i="17"/>
  <c r="M26" i="18"/>
  <c r="V26" i="17"/>
  <c r="N26" i="17"/>
  <c r="H26" i="17"/>
  <c r="F26" i="17"/>
  <c r="E26" i="17"/>
  <c r="N26" i="18"/>
  <c r="D26" i="18"/>
  <c r="C26" i="18"/>
  <c r="H20" i="17"/>
  <c r="G20" i="17"/>
  <c r="F20" i="17"/>
  <c r="E20" i="17"/>
  <c r="D20" i="17"/>
  <c r="C20" i="17"/>
  <c r="B20" i="17"/>
  <c r="J20" i="17"/>
  <c r="K20" i="17"/>
  <c r="L20" i="17"/>
  <c r="M20" i="17"/>
  <c r="N20" i="17"/>
  <c r="O20" i="17"/>
  <c r="P20" i="17"/>
  <c r="Q23" i="17"/>
  <c r="I23" i="17"/>
  <c r="F23" i="18" s="1"/>
  <c r="E23" i="18" s="1"/>
  <c r="D29" i="43"/>
  <c r="K23" i="18" l="1"/>
  <c r="J23" i="18" s="1"/>
  <c r="G47" i="31"/>
  <c r="J24" i="18" l="1"/>
  <c r="Q23" i="18"/>
  <c r="G49" i="31"/>
  <c r="F8" i="1" s="1"/>
  <c r="Y23" i="17" l="1"/>
  <c r="Z23" i="17" s="1"/>
  <c r="M20" i="18" l="1"/>
  <c r="L20" i="18"/>
  <c r="N14" i="18"/>
  <c r="M14" i="18"/>
  <c r="L14" i="18"/>
  <c r="M10" i="18"/>
  <c r="N10" i="18"/>
  <c r="L10" i="18"/>
  <c r="M7" i="18"/>
  <c r="L7" i="18"/>
  <c r="N5" i="18"/>
  <c r="M5" i="18"/>
  <c r="L5" i="18"/>
  <c r="I5" i="18"/>
  <c r="H5" i="18"/>
  <c r="G5" i="18"/>
  <c r="I20" i="18"/>
  <c r="I14" i="18"/>
  <c r="H14" i="18"/>
  <c r="G14" i="18"/>
  <c r="L18" i="18"/>
  <c r="G18" i="18" s="1"/>
  <c r="X10" i="17" l="1"/>
  <c r="V7" i="17"/>
  <c r="W7" i="17"/>
  <c r="X7" i="17"/>
  <c r="U5" i="17"/>
  <c r="V5" i="17"/>
  <c r="W5" i="17"/>
  <c r="X5" i="17"/>
  <c r="M10" i="17" l="1"/>
  <c r="N10" i="17"/>
  <c r="O10" i="17"/>
  <c r="P10" i="17"/>
  <c r="K10" i="17"/>
  <c r="J10" i="17"/>
  <c r="P7" i="17"/>
  <c r="L7" i="17"/>
  <c r="M7" i="17"/>
  <c r="N7" i="17"/>
  <c r="O7" i="17"/>
  <c r="K7" i="17"/>
  <c r="J7" i="17"/>
  <c r="L5" i="17"/>
  <c r="M5" i="17"/>
  <c r="N5" i="17"/>
  <c r="O5" i="17"/>
  <c r="D23" i="48"/>
  <c r="F23" i="48" s="1"/>
  <c r="H11" i="10"/>
  <c r="N47" i="10"/>
  <c r="U47" i="10" s="1"/>
  <c r="H47" i="10"/>
  <c r="D9" i="3"/>
  <c r="F9" i="3" s="1"/>
  <c r="L7" i="1" l="1"/>
  <c r="V20" i="17"/>
  <c r="W20" i="17"/>
  <c r="N44" i="10" l="1"/>
  <c r="U44" i="10" s="1"/>
  <c r="N45" i="10"/>
  <c r="U45" i="10" s="1"/>
  <c r="N46" i="10"/>
  <c r="U46" i="10" s="1"/>
  <c r="H44" i="10"/>
  <c r="H45" i="10"/>
  <c r="H46" i="10"/>
  <c r="T32" i="53" l="1"/>
  <c r="C32" i="53"/>
  <c r="D32" i="53"/>
  <c r="E32" i="53"/>
  <c r="F32" i="53"/>
  <c r="G32" i="53"/>
  <c r="H32" i="53"/>
  <c r="J32" i="53"/>
  <c r="K32" i="53"/>
  <c r="L32" i="53"/>
  <c r="M32" i="53"/>
  <c r="N32" i="53"/>
  <c r="O32" i="53"/>
  <c r="S32" i="53"/>
  <c r="U32" i="53"/>
  <c r="V32" i="53"/>
  <c r="W32" i="53"/>
  <c r="Q32" i="53" l="1"/>
  <c r="I32" i="53"/>
  <c r="R32" i="53"/>
  <c r="Y32" i="53" s="1"/>
  <c r="U10" i="17"/>
  <c r="V10" i="17"/>
  <c r="W10" i="17"/>
  <c r="T14" i="17"/>
  <c r="U14" i="17"/>
  <c r="V14" i="17"/>
  <c r="W14" i="17"/>
  <c r="S14" i="17"/>
  <c r="R14" i="17"/>
  <c r="M5" i="1" l="1"/>
  <c r="Z32" i="53"/>
  <c r="L5" i="1"/>
  <c r="K5" i="1"/>
  <c r="N5" i="1" l="1"/>
  <c r="S17" i="17"/>
  <c r="T17" i="17"/>
  <c r="U17" i="17"/>
  <c r="V17" i="17"/>
  <c r="W17" i="17"/>
  <c r="R17" i="17"/>
  <c r="S18" i="17"/>
  <c r="T18" i="17"/>
  <c r="U18" i="17"/>
  <c r="V18" i="17"/>
  <c r="W18" i="17"/>
  <c r="R18" i="17"/>
  <c r="I26" i="18"/>
  <c r="H26" i="18"/>
  <c r="O18" i="17" l="1"/>
  <c r="O17" i="17"/>
  <c r="K18" i="17"/>
  <c r="L18" i="17"/>
  <c r="M18" i="17"/>
  <c r="J18" i="17"/>
  <c r="D18" i="17"/>
  <c r="C18" i="17"/>
  <c r="H42" i="10" l="1"/>
  <c r="N11" i="10"/>
  <c r="U11" i="10" s="1"/>
  <c r="B5" i="17" l="1"/>
  <c r="C5" i="17"/>
  <c r="J5" i="17"/>
  <c r="K5" i="17"/>
  <c r="R5" i="17"/>
  <c r="S5" i="17"/>
  <c r="B18" i="17" l="1"/>
  <c r="K17" i="17"/>
  <c r="L17" i="17"/>
  <c r="M17" i="17"/>
  <c r="J17" i="17"/>
  <c r="C17" i="17"/>
  <c r="D17" i="17"/>
  <c r="B17" i="17"/>
  <c r="D5" i="17"/>
  <c r="N42" i="10"/>
  <c r="U42" i="10" s="1"/>
  <c r="N43" i="10"/>
  <c r="U43" i="10" s="1"/>
  <c r="H34" i="10"/>
  <c r="H35" i="10"/>
  <c r="H36" i="10"/>
  <c r="H37" i="10"/>
  <c r="H38" i="10"/>
  <c r="H39" i="10"/>
  <c r="N35" i="10"/>
  <c r="U35" i="10" s="1"/>
  <c r="N36" i="10"/>
  <c r="U36" i="10" s="1"/>
  <c r="N37" i="10"/>
  <c r="N38" i="10"/>
  <c r="U38" i="10" s="1"/>
  <c r="N39" i="10"/>
  <c r="U39" i="10" s="1"/>
  <c r="N34" i="10"/>
  <c r="U34" i="10" s="1"/>
  <c r="L17" i="18" l="1"/>
  <c r="G17" i="18" s="1"/>
  <c r="I11" i="17" l="1"/>
  <c r="F11" i="18" s="1"/>
  <c r="F13" i="18"/>
  <c r="I17" i="17"/>
  <c r="F17" i="18" s="1"/>
  <c r="Q21" i="17"/>
  <c r="K21" i="18" s="1"/>
  <c r="J21" i="18" s="1"/>
  <c r="Q20" i="17"/>
  <c r="K20" i="18" s="1"/>
  <c r="J20" i="18" s="1"/>
  <c r="Q17" i="17"/>
  <c r="K17" i="18" s="1"/>
  <c r="J17" i="18" s="1"/>
  <c r="Q13" i="17"/>
  <c r="K13" i="18" s="1"/>
  <c r="J13" i="18" s="1"/>
  <c r="Q11" i="17"/>
  <c r="K11" i="18" s="1"/>
  <c r="J11" i="18" s="1"/>
  <c r="Q10" i="17"/>
  <c r="K10" i="18" s="1"/>
  <c r="J10" i="18" s="1"/>
  <c r="Q7" i="17"/>
  <c r="K7" i="18" s="1"/>
  <c r="J7" i="18" s="1"/>
  <c r="Q8" i="17"/>
  <c r="K8" i="18" s="1"/>
  <c r="J8" i="18" s="1"/>
  <c r="Q4" i="17"/>
  <c r="K4" i="18" s="1"/>
  <c r="Q5" i="17"/>
  <c r="K5" i="18" s="1"/>
  <c r="J5" i="18" s="1"/>
  <c r="H43" i="10" l="1"/>
  <c r="N32" i="10" l="1"/>
  <c r="U32" i="10" s="1"/>
  <c r="N33" i="10"/>
  <c r="U33" i="10" s="1"/>
  <c r="H32" i="10"/>
  <c r="H33" i="10"/>
  <c r="E45" i="31" l="1"/>
  <c r="E23" i="31"/>
  <c r="F23" i="31" l="1"/>
  <c r="F47" i="31" l="1"/>
  <c r="F49" i="31" s="1"/>
  <c r="E8" i="1" s="1"/>
  <c r="G8" i="1" s="1"/>
  <c r="E47" i="31"/>
  <c r="E49" i="31" s="1"/>
  <c r="E11" i="18" l="1"/>
  <c r="E13" i="18"/>
  <c r="E17" i="18"/>
  <c r="I22" i="17"/>
  <c r="I21" i="17"/>
  <c r="F21" i="18" s="1"/>
  <c r="E21" i="18" s="1"/>
  <c r="I20" i="17"/>
  <c r="F20" i="18" s="1"/>
  <c r="E20" i="18" s="1"/>
  <c r="I19" i="17"/>
  <c r="F19" i="18" s="1"/>
  <c r="E19" i="18" s="1"/>
  <c r="T5" i="17"/>
  <c r="Y5" i="17" s="1"/>
  <c r="R7" i="17"/>
  <c r="S7" i="17"/>
  <c r="T7" i="17"/>
  <c r="U7" i="17"/>
  <c r="K59" i="10"/>
  <c r="H16" i="10"/>
  <c r="I14" i="17"/>
  <c r="F14" i="18" s="1"/>
  <c r="I10" i="17"/>
  <c r="F10" i="18" s="1"/>
  <c r="E10" i="18" s="1"/>
  <c r="I8" i="17"/>
  <c r="F8" i="18" s="1"/>
  <c r="E8" i="18" s="1"/>
  <c r="I5" i="17"/>
  <c r="F5" i="18" s="1"/>
  <c r="E5" i="18" s="1"/>
  <c r="I4" i="17"/>
  <c r="K8" i="1"/>
  <c r="K14" i="1"/>
  <c r="M7" i="1"/>
  <c r="N41" i="10"/>
  <c r="U41" i="10" s="1"/>
  <c r="H41" i="10"/>
  <c r="N40" i="10"/>
  <c r="U40" i="10" s="1"/>
  <c r="H40" i="10"/>
  <c r="C9" i="3"/>
  <c r="Y22" i="17"/>
  <c r="Q22" i="17"/>
  <c r="Y21" i="17"/>
  <c r="R20" i="17"/>
  <c r="S20" i="17"/>
  <c r="T20" i="17"/>
  <c r="U20" i="17"/>
  <c r="Y19" i="17"/>
  <c r="Q19" i="17"/>
  <c r="N20" i="18"/>
  <c r="N7" i="18"/>
  <c r="Y14" i="17"/>
  <c r="Y8" i="17"/>
  <c r="Y4" i="17"/>
  <c r="Y3" i="41"/>
  <c r="R15" i="41"/>
  <c r="R6" i="44" s="1"/>
  <c r="R25" i="41"/>
  <c r="R10" i="44" s="1"/>
  <c r="S15" i="41"/>
  <c r="S6" i="44" s="1"/>
  <c r="S25" i="41"/>
  <c r="S10" i="44" s="1"/>
  <c r="T15" i="41"/>
  <c r="T6" i="44" s="1"/>
  <c r="T25" i="41"/>
  <c r="T10" i="44" s="1"/>
  <c r="W15" i="41"/>
  <c r="W6" i="44" s="1"/>
  <c r="Y9" i="17"/>
  <c r="Y3" i="17"/>
  <c r="Y6" i="17"/>
  <c r="Z6" i="17" s="1"/>
  <c r="Y12" i="17"/>
  <c r="R59" i="10"/>
  <c r="S59" i="10"/>
  <c r="M17" i="1" s="1"/>
  <c r="M14" i="1"/>
  <c r="D20" i="37"/>
  <c r="F20" i="37" s="1"/>
  <c r="C52" i="46"/>
  <c r="E40" i="45"/>
  <c r="C40" i="45"/>
  <c r="C59" i="10"/>
  <c r="D59" i="10"/>
  <c r="F59" i="10"/>
  <c r="G59" i="10"/>
  <c r="H5" i="10"/>
  <c r="H6" i="10"/>
  <c r="H7" i="10"/>
  <c r="H8" i="10"/>
  <c r="H9" i="10"/>
  <c r="H10" i="10"/>
  <c r="H12" i="10"/>
  <c r="H13" i="10"/>
  <c r="H14" i="10"/>
  <c r="H15" i="10"/>
  <c r="H17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4" i="10"/>
  <c r="H3" i="10"/>
  <c r="U15" i="41"/>
  <c r="U6" i="44" s="1"/>
  <c r="V15" i="41"/>
  <c r="V6" i="44" s="1"/>
  <c r="D40" i="45"/>
  <c r="L25" i="41"/>
  <c r="L10" i="44" s="1"/>
  <c r="J15" i="41"/>
  <c r="J6" i="44" s="1"/>
  <c r="K15" i="41"/>
  <c r="K6" i="44" s="1"/>
  <c r="C16" i="6"/>
  <c r="L14" i="1"/>
  <c r="N8" i="10"/>
  <c r="U8" i="10" s="1"/>
  <c r="Q9" i="17"/>
  <c r="Q3" i="17"/>
  <c r="D10" i="43"/>
  <c r="D36" i="40"/>
  <c r="E4" i="42" s="1"/>
  <c r="I59" i="10"/>
  <c r="J59" i="10"/>
  <c r="L59" i="10"/>
  <c r="M59" i="10"/>
  <c r="Q59" i="10"/>
  <c r="H36" i="40"/>
  <c r="E18" i="42" s="1"/>
  <c r="F18" i="42" s="1"/>
  <c r="D26" i="43"/>
  <c r="F26" i="43" s="1"/>
  <c r="F9" i="18"/>
  <c r="E9" i="18" s="1"/>
  <c r="D52" i="46"/>
  <c r="F52" i="46" s="1"/>
  <c r="N3" i="10"/>
  <c r="U3" i="10" s="1"/>
  <c r="N30" i="10"/>
  <c r="U30" i="10" s="1"/>
  <c r="N26" i="10"/>
  <c r="U26" i="10" s="1"/>
  <c r="N27" i="10"/>
  <c r="U27" i="10" s="1"/>
  <c r="N28" i="10"/>
  <c r="U28" i="10" s="1"/>
  <c r="N29" i="10"/>
  <c r="U29" i="10" s="1"/>
  <c r="N31" i="10"/>
  <c r="U31" i="10" s="1"/>
  <c r="E10" i="43"/>
  <c r="F10" i="43" s="1"/>
  <c r="E9" i="2"/>
  <c r="F7" i="1" s="1"/>
  <c r="E14" i="3"/>
  <c r="E29" i="43"/>
  <c r="F29" i="43" s="1"/>
  <c r="F15" i="1"/>
  <c r="U25" i="41"/>
  <c r="U10" i="44" s="1"/>
  <c r="W25" i="41"/>
  <c r="W10" i="44" s="1"/>
  <c r="X25" i="41"/>
  <c r="X10" i="44" s="1"/>
  <c r="J25" i="41"/>
  <c r="J10" i="44" s="1"/>
  <c r="K25" i="41"/>
  <c r="K10" i="44" s="1"/>
  <c r="G36" i="40"/>
  <c r="D18" i="42" s="1"/>
  <c r="E5" i="1"/>
  <c r="C36" i="40"/>
  <c r="D14" i="3"/>
  <c r="E9" i="1" s="1"/>
  <c r="E14" i="1"/>
  <c r="G14" i="1" s="1"/>
  <c r="E15" i="1"/>
  <c r="C10" i="43"/>
  <c r="C9" i="2"/>
  <c r="D7" i="1" s="1"/>
  <c r="C14" i="3"/>
  <c r="C26" i="43"/>
  <c r="C29" i="43"/>
  <c r="D14" i="1" s="1"/>
  <c r="D15" i="1"/>
  <c r="N17" i="10"/>
  <c r="U17" i="10" s="1"/>
  <c r="V25" i="41"/>
  <c r="M15" i="41"/>
  <c r="M6" i="44" s="1"/>
  <c r="Y24" i="41"/>
  <c r="Y4" i="41"/>
  <c r="Y5" i="41"/>
  <c r="M25" i="41"/>
  <c r="M10" i="44" s="1"/>
  <c r="F25" i="41"/>
  <c r="G10" i="44" s="1"/>
  <c r="E25" i="41"/>
  <c r="F10" i="44" s="1"/>
  <c r="D25" i="41"/>
  <c r="F15" i="41"/>
  <c r="G6" i="44" s="1"/>
  <c r="E15" i="41"/>
  <c r="F6" i="44" s="1"/>
  <c r="D15" i="41"/>
  <c r="E6" i="44" s="1"/>
  <c r="F36" i="40"/>
  <c r="C18" i="42" s="1"/>
  <c r="B36" i="40"/>
  <c r="C4" i="42" s="1"/>
  <c r="C13" i="42" s="1"/>
  <c r="N25" i="10"/>
  <c r="U25" i="10" s="1"/>
  <c r="I10" i="41"/>
  <c r="I11" i="41"/>
  <c r="I12" i="41"/>
  <c r="I13" i="41"/>
  <c r="I3" i="41"/>
  <c r="I4" i="41"/>
  <c r="I5" i="41"/>
  <c r="Q5" i="41"/>
  <c r="I6" i="41"/>
  <c r="Q6" i="41"/>
  <c r="Y6" i="41"/>
  <c r="I7" i="41"/>
  <c r="Q7" i="41"/>
  <c r="Y7" i="41"/>
  <c r="I8" i="41"/>
  <c r="Q8" i="41"/>
  <c r="Y8" i="41"/>
  <c r="I9" i="41"/>
  <c r="Q9" i="41"/>
  <c r="Y9" i="41"/>
  <c r="Q10" i="41"/>
  <c r="Y10" i="41"/>
  <c r="Q11" i="41"/>
  <c r="Y11" i="41"/>
  <c r="Q12" i="41"/>
  <c r="Y12" i="41"/>
  <c r="Q13" i="41"/>
  <c r="Y13" i="41"/>
  <c r="I14" i="41"/>
  <c r="Q14" i="41"/>
  <c r="Y14" i="41"/>
  <c r="B15" i="41"/>
  <c r="C6" i="44" s="1"/>
  <c r="C15" i="41"/>
  <c r="D6" i="44" s="1"/>
  <c r="G15" i="41"/>
  <c r="H6" i="44" s="1"/>
  <c r="N15" i="41"/>
  <c r="N6" i="44" s="1"/>
  <c r="O15" i="41"/>
  <c r="O6" i="44" s="1"/>
  <c r="P15" i="41"/>
  <c r="P6" i="44" s="1"/>
  <c r="X15" i="41"/>
  <c r="X6" i="44" s="1"/>
  <c r="I17" i="41"/>
  <c r="Q17" i="41"/>
  <c r="Y17" i="41"/>
  <c r="I18" i="41"/>
  <c r="Q18" i="41"/>
  <c r="Y18" i="41"/>
  <c r="I19" i="41"/>
  <c r="Q19" i="41"/>
  <c r="Y19" i="41"/>
  <c r="I20" i="41"/>
  <c r="Q20" i="41"/>
  <c r="Y20" i="41"/>
  <c r="I21" i="41"/>
  <c r="Q21" i="41"/>
  <c r="Y21" i="41"/>
  <c r="I22" i="41"/>
  <c r="Q22" i="41"/>
  <c r="Y22" i="41"/>
  <c r="I23" i="41"/>
  <c r="Q23" i="41"/>
  <c r="Y23" i="41"/>
  <c r="Q24" i="41"/>
  <c r="B25" i="41"/>
  <c r="C10" i="44" s="1"/>
  <c r="C25" i="41"/>
  <c r="D10" i="44" s="1"/>
  <c r="G25" i="41"/>
  <c r="H25" i="41"/>
  <c r="N25" i="41"/>
  <c r="N10" i="44" s="1"/>
  <c r="O25" i="41"/>
  <c r="O10" i="44" s="1"/>
  <c r="P25" i="41"/>
  <c r="P10" i="44" s="1"/>
  <c r="N12" i="10"/>
  <c r="U12" i="10" s="1"/>
  <c r="N23" i="10"/>
  <c r="U23" i="10" s="1"/>
  <c r="N24" i="10"/>
  <c r="U24" i="10" s="1"/>
  <c r="N19" i="10"/>
  <c r="U19" i="10" s="1"/>
  <c r="N20" i="10"/>
  <c r="U20" i="10" s="1"/>
  <c r="N21" i="10"/>
  <c r="U21" i="10" s="1"/>
  <c r="N22" i="10"/>
  <c r="U22" i="10" s="1"/>
  <c r="N4" i="10"/>
  <c r="U4" i="10" s="1"/>
  <c r="N5" i="10"/>
  <c r="U5" i="10" s="1"/>
  <c r="N6" i="10"/>
  <c r="U6" i="10" s="1"/>
  <c r="N7" i="10"/>
  <c r="U7" i="10" s="1"/>
  <c r="N10" i="10"/>
  <c r="U10" i="10" s="1"/>
  <c r="N13" i="10"/>
  <c r="U13" i="10" s="1"/>
  <c r="N14" i="10"/>
  <c r="U14" i="10" s="1"/>
  <c r="N15" i="10"/>
  <c r="U15" i="10" s="1"/>
  <c r="O59" i="10"/>
  <c r="P59" i="10"/>
  <c r="I3" i="17"/>
  <c r="I6" i="17"/>
  <c r="N9" i="10"/>
  <c r="U9" i="10" s="1"/>
  <c r="L15" i="41"/>
  <c r="L6" i="44" s="1"/>
  <c r="Q3" i="41"/>
  <c r="L8" i="1"/>
  <c r="I12" i="17"/>
  <c r="F12" i="18" s="1"/>
  <c r="E12" i="18" s="1"/>
  <c r="Q4" i="41"/>
  <c r="E7" i="1"/>
  <c r="K7" i="1"/>
  <c r="N16" i="10"/>
  <c r="U16" i="10" s="1"/>
  <c r="N14" i="1" l="1"/>
  <c r="N7" i="1"/>
  <c r="Z22" i="17"/>
  <c r="F40" i="45"/>
  <c r="Z3" i="17"/>
  <c r="Z19" i="17"/>
  <c r="Z9" i="17"/>
  <c r="D4" i="42"/>
  <c r="F4" i="42" s="1"/>
  <c r="F16" i="6"/>
  <c r="K3" i="18"/>
  <c r="J3" i="18" s="1"/>
  <c r="Q3" i="18" s="1"/>
  <c r="G15" i="1"/>
  <c r="G7" i="1"/>
  <c r="L17" i="1"/>
  <c r="N17" i="1" s="1"/>
  <c r="Q10" i="44"/>
  <c r="P18" i="44"/>
  <c r="P16" i="17" s="1"/>
  <c r="F3" i="18"/>
  <c r="E3" i="18" s="1"/>
  <c r="D13" i="1"/>
  <c r="D17" i="1" s="1"/>
  <c r="D5" i="1"/>
  <c r="X18" i="44"/>
  <c r="X15" i="17" s="1"/>
  <c r="X26" i="17" s="1"/>
  <c r="Q6" i="44"/>
  <c r="Y6" i="44"/>
  <c r="F9" i="1"/>
  <c r="M8" i="1"/>
  <c r="I7" i="17"/>
  <c r="F7" i="18" s="1"/>
  <c r="K6" i="18"/>
  <c r="J6" i="18" s="1"/>
  <c r="Q6" i="18" s="1"/>
  <c r="K9" i="18"/>
  <c r="J9" i="18" s="1"/>
  <c r="Q9" i="18" s="1"/>
  <c r="K19" i="18"/>
  <c r="J19" i="18" s="1"/>
  <c r="Q19" i="18" s="1"/>
  <c r="K22" i="18"/>
  <c r="J22" i="18" s="1"/>
  <c r="Q22" i="18" s="1"/>
  <c r="F4" i="18"/>
  <c r="G18" i="44"/>
  <c r="F22" i="18"/>
  <c r="E22" i="18" s="1"/>
  <c r="I18" i="17"/>
  <c r="F18" i="18" s="1"/>
  <c r="E18" i="18" s="1"/>
  <c r="D30" i="43"/>
  <c r="D6" i="1"/>
  <c r="Q18" i="17"/>
  <c r="U18" i="44"/>
  <c r="U15" i="17" s="1"/>
  <c r="H10" i="44"/>
  <c r="H18" i="44" s="1"/>
  <c r="G15" i="17" s="1"/>
  <c r="F6" i="18"/>
  <c r="E6" i="18" s="1"/>
  <c r="C19" i="42"/>
  <c r="B15" i="18" s="1"/>
  <c r="B26" i="18" s="1"/>
  <c r="C30" i="43"/>
  <c r="E13" i="1"/>
  <c r="E17" i="1" s="1"/>
  <c r="F18" i="44"/>
  <c r="N18" i="44"/>
  <c r="D18" i="44"/>
  <c r="E59" i="10"/>
  <c r="K6" i="1" s="1"/>
  <c r="N59" i="10"/>
  <c r="L6" i="1" s="1"/>
  <c r="I15" i="41"/>
  <c r="D19" i="42"/>
  <c r="G15" i="18" s="1"/>
  <c r="G26" i="18" s="1"/>
  <c r="Y18" i="17"/>
  <c r="Y20" i="17"/>
  <c r="E30" i="43"/>
  <c r="F13" i="1"/>
  <c r="I6" i="44"/>
  <c r="F9" i="2"/>
  <c r="T18" i="44"/>
  <c r="T15" i="17" s="1"/>
  <c r="E19" i="42"/>
  <c r="Y15" i="41"/>
  <c r="K18" i="44"/>
  <c r="K15" i="17" s="1"/>
  <c r="J18" i="44"/>
  <c r="J15" i="17" s="1"/>
  <c r="Q25" i="41"/>
  <c r="L18" i="44"/>
  <c r="M18" i="44"/>
  <c r="M15" i="17" s="1"/>
  <c r="M26" i="17" s="1"/>
  <c r="Q15" i="41"/>
  <c r="E15" i="3"/>
  <c r="S18" i="44"/>
  <c r="S15" i="17" s="1"/>
  <c r="Y17" i="17"/>
  <c r="D9" i="1"/>
  <c r="C15" i="3"/>
  <c r="D15" i="3"/>
  <c r="C20" i="37"/>
  <c r="C18" i="44"/>
  <c r="R18" i="44"/>
  <c r="R15" i="17" s="1"/>
  <c r="V10" i="44"/>
  <c r="V18" i="44" s="1"/>
  <c r="Y25" i="41"/>
  <c r="T59" i="10"/>
  <c r="U59" i="10" s="1"/>
  <c r="F5" i="1"/>
  <c r="E10" i="44"/>
  <c r="E18" i="44" s="1"/>
  <c r="I25" i="41"/>
  <c r="Y7" i="17"/>
  <c r="D13" i="42" l="1"/>
  <c r="E6" i="1" s="1"/>
  <c r="Z6" i="44"/>
  <c r="N8" i="1"/>
  <c r="G5" i="1"/>
  <c r="R26" i="17"/>
  <c r="L15" i="17"/>
  <c r="L16" i="17" s="1"/>
  <c r="G13" i="1"/>
  <c r="F30" i="43"/>
  <c r="F15" i="3"/>
  <c r="F19" i="42"/>
  <c r="G26" i="17"/>
  <c r="K13" i="1" s="1"/>
  <c r="G16" i="17"/>
  <c r="K18" i="18"/>
  <c r="J18" i="18" s="1"/>
  <c r="K17" i="1"/>
  <c r="X16" i="17"/>
  <c r="Y10" i="44"/>
  <c r="Z10" i="44" s="1"/>
  <c r="O20" i="18"/>
  <c r="P20" i="18" s="1"/>
  <c r="O7" i="18"/>
  <c r="P7" i="18" s="1"/>
  <c r="O10" i="18"/>
  <c r="P10" i="18" s="1"/>
  <c r="O14" i="18"/>
  <c r="P14" i="18" s="1"/>
  <c r="J16" i="17"/>
  <c r="T26" i="17"/>
  <c r="U26" i="17"/>
  <c r="U16" i="17"/>
  <c r="E13" i="42"/>
  <c r="F13" i="42" s="1"/>
  <c r="W18" i="44"/>
  <c r="W15" i="17" s="1"/>
  <c r="G16" i="18"/>
  <c r="C53" i="46"/>
  <c r="D16" i="17"/>
  <c r="D15" i="17"/>
  <c r="D26" i="17" s="1"/>
  <c r="C16" i="17"/>
  <c r="C15" i="17"/>
  <c r="C26" i="17" s="1"/>
  <c r="B16" i="17"/>
  <c r="B15" i="17"/>
  <c r="B26" i="17" s="1"/>
  <c r="C22" i="42"/>
  <c r="O18" i="44"/>
  <c r="O16" i="17" s="1"/>
  <c r="K26" i="17"/>
  <c r="D22" i="42"/>
  <c r="H59" i="10"/>
  <c r="I10" i="44"/>
  <c r="F17" i="1"/>
  <c r="D53" i="46"/>
  <c r="F53" i="46" s="1"/>
  <c r="L15" i="18"/>
  <c r="L9" i="1"/>
  <c r="S26" i="17"/>
  <c r="K9" i="1"/>
  <c r="M6" i="1"/>
  <c r="I18" i="44"/>
  <c r="M9" i="1"/>
  <c r="N6" i="1" l="1"/>
  <c r="G17" i="1"/>
  <c r="N9" i="1"/>
  <c r="L26" i="17"/>
  <c r="Y18" i="44"/>
  <c r="Q18" i="44"/>
  <c r="J26" i="17"/>
  <c r="T16" i="17"/>
  <c r="F6" i="1"/>
  <c r="E22" i="42"/>
  <c r="F22" i="42" s="1"/>
  <c r="L16" i="18"/>
  <c r="L26" i="18"/>
  <c r="W26" i="17"/>
  <c r="M13" i="1" s="1"/>
  <c r="O15" i="17"/>
  <c r="O26" i="17" s="1"/>
  <c r="I16" i="17"/>
  <c r="F16" i="18" s="1"/>
  <c r="E16" i="18" s="1"/>
  <c r="K16" i="17"/>
  <c r="K18" i="1"/>
  <c r="W16" i="17"/>
  <c r="S16" i="17"/>
  <c r="I15" i="17"/>
  <c r="F15" i="18" s="1"/>
  <c r="I26" i="17"/>
  <c r="K4" i="1" s="1"/>
  <c r="R16" i="17"/>
  <c r="G6" i="1" l="1"/>
  <c r="Z18" i="44"/>
  <c r="E15" i="18"/>
  <c r="E26" i="18" l="1"/>
  <c r="K11" i="1"/>
  <c r="K19" i="1" s="1"/>
  <c r="V16" i="17"/>
  <c r="Y16" i="17" s="1"/>
  <c r="Y15" i="17"/>
  <c r="Y26" i="17" l="1"/>
  <c r="F26" i="18"/>
  <c r="D4" i="1" s="1"/>
  <c r="D11" i="1" s="1"/>
  <c r="D19" i="1" s="1"/>
  <c r="M4" i="1" l="1"/>
  <c r="M11" i="1" l="1"/>
  <c r="Q16" i="17"/>
  <c r="P15" i="17"/>
  <c r="Q15" i="17" l="1"/>
  <c r="Z15" i="17" s="1"/>
  <c r="K15" i="18" l="1"/>
  <c r="J15" i="18" l="1"/>
  <c r="Q15" i="18" s="1"/>
  <c r="K16" i="18"/>
  <c r="J16" i="18" s="1"/>
  <c r="Y11" i="17" l="1"/>
  <c r="R10" i="17"/>
  <c r="Y10" i="17" s="1"/>
  <c r="M18" i="1"/>
  <c r="M19" i="1" l="1"/>
  <c r="P26" i="17"/>
  <c r="P14" i="17"/>
  <c r="Q14" i="17" s="1"/>
  <c r="K14" i="18" s="1"/>
  <c r="J14" i="18" s="1"/>
  <c r="Q12" i="17"/>
  <c r="Z12" i="17" s="1"/>
  <c r="K12" i="18" l="1"/>
  <c r="J12" i="18" s="1"/>
  <c r="Q26" i="17"/>
  <c r="Z26" i="17" s="1"/>
  <c r="L13" i="1"/>
  <c r="N13" i="1" s="1"/>
  <c r="J26" i="18" l="1"/>
  <c r="Q12" i="18"/>
  <c r="L18" i="1"/>
  <c r="N18" i="1" s="1"/>
  <c r="L4" i="1"/>
  <c r="N4" i="1" s="1"/>
  <c r="O5" i="18"/>
  <c r="P5" i="18" s="1"/>
  <c r="P4" i="18"/>
  <c r="P17" i="18"/>
  <c r="P16" i="18"/>
  <c r="P15" i="18"/>
  <c r="P18" i="18"/>
  <c r="O26" i="18"/>
  <c r="P23" i="18"/>
  <c r="P26" i="18" l="1"/>
  <c r="F4" i="1" s="1"/>
  <c r="Q26" i="18"/>
  <c r="K26" i="18"/>
  <c r="E4" i="1" s="1"/>
  <c r="L11" i="1"/>
  <c r="G4" i="1" l="1"/>
  <c r="N11" i="1"/>
  <c r="F11" i="1"/>
  <c r="E11" i="1"/>
  <c r="L19" i="1"/>
  <c r="F19" i="1"/>
  <c r="N19" i="1" l="1"/>
  <c r="E19" i="1"/>
  <c r="G11" i="1"/>
  <c r="P24" i="18"/>
  <c r="G19" i="1" l="1"/>
  <c r="Y24" i="17"/>
</calcChain>
</file>

<file path=xl/comments1.xml><?xml version="1.0" encoding="utf-8"?>
<comments xmlns="http://schemas.openxmlformats.org/spreadsheetml/2006/main">
  <authors>
    <author>Lőrincz László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Lőrincz László: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<sst xmlns="http://schemas.openxmlformats.org/spreadsheetml/2006/main" count="1373" uniqueCount="858">
  <si>
    <t>Inert hulladéklerakó üzemeltetés</t>
  </si>
  <si>
    <t>Önkormányzati feladatok</t>
  </si>
  <si>
    <t>Szökőkutak üzemeltetése (vízdíj, áramdíj)</t>
  </si>
  <si>
    <t>Helyi adók összesen</t>
  </si>
  <si>
    <t>Átengedett központi adók összesen</t>
  </si>
  <si>
    <t>Ingatlan értékesítés</t>
  </si>
  <si>
    <t>Szántó bérleti díj</t>
  </si>
  <si>
    <t>Üdülők bérleti díja</t>
  </si>
  <si>
    <t>Gyógyfürdő területhasználati díja</t>
  </si>
  <si>
    <t>Intézmények beruházásai, felújításai</t>
  </si>
  <si>
    <t xml:space="preserve">     B E V É T E L</t>
  </si>
  <si>
    <t>Saját ingatlan hasznosítása</t>
  </si>
  <si>
    <t>Gépkocsi üzemeltetés</t>
  </si>
  <si>
    <t>Informatikai üzemeltetési költség</t>
  </si>
  <si>
    <t>Hungarospa  Rt alaptőke-emelés</t>
  </si>
  <si>
    <t>Működési célra átvett pénzeszközök összesen:</t>
  </si>
  <si>
    <t>Felhalmozási célra átvett pénzeszközök összesen:</t>
  </si>
  <si>
    <t>Turisztikai célkeret</t>
  </si>
  <si>
    <t>fő</t>
  </si>
  <si>
    <t xml:space="preserve">fő </t>
  </si>
  <si>
    <t>Felhalmozási célra átadott pénzeszközök összesen</t>
  </si>
  <si>
    <t>Működési célra átadott pénzeszközök összesen:</t>
  </si>
  <si>
    <t>Bevétel mindösszesen</t>
  </si>
  <si>
    <t>Városmarketing</t>
  </si>
  <si>
    <t>5.</t>
  </si>
  <si>
    <t>Telekértékesítés,adatszolgáltatás,vagyonkataszter</t>
  </si>
  <si>
    <t>Városi kitüntetések</t>
  </si>
  <si>
    <t>Allergén növények kaszálása</t>
  </si>
  <si>
    <t>Hulladéklerakók fenntartása</t>
  </si>
  <si>
    <t>Lakáshoz jutás támog. - végleges jelleggel</t>
  </si>
  <si>
    <t>Járóbeteg-ellátó Centrum</t>
  </si>
  <si>
    <t>Tagdíjak</t>
  </si>
  <si>
    <t>Szökőkutak karbantartása</t>
  </si>
  <si>
    <t>3, 4.</t>
  </si>
  <si>
    <t>4.</t>
  </si>
  <si>
    <t>Külterületi utak és hidak fenntartása</t>
  </si>
  <si>
    <t xml:space="preserve">Camping bevétele </t>
  </si>
  <si>
    <t>Kistérségi Szociális Szolgáltató Központ támogatása</t>
  </si>
  <si>
    <t>1/a.</t>
  </si>
  <si>
    <t>8/a.</t>
  </si>
  <si>
    <t>Közbeszerzések kiadásai</t>
  </si>
  <si>
    <t>Zászlókihelyezés,pótlás</t>
  </si>
  <si>
    <t>Felújítási kiadások:</t>
  </si>
  <si>
    <t>Felhalmozási kiadások:</t>
  </si>
  <si>
    <t>Fakivágás</t>
  </si>
  <si>
    <t>K I A D Á S O K</t>
  </si>
  <si>
    <t>Ssz.</t>
  </si>
  <si>
    <t>Bevételek forrásonként</t>
  </si>
  <si>
    <t>Mellék-</t>
  </si>
  <si>
    <t>Kiadások</t>
  </si>
  <si>
    <t>let sz.</t>
  </si>
  <si>
    <t>8.</t>
  </si>
  <si>
    <t>2.</t>
  </si>
  <si>
    <t>9.</t>
  </si>
  <si>
    <t xml:space="preserve">Helyi adóbevételek  </t>
  </si>
  <si>
    <t>10.</t>
  </si>
  <si>
    <t xml:space="preserve">Városüzemeltetési feladatok </t>
  </si>
  <si>
    <t>11.</t>
  </si>
  <si>
    <t xml:space="preserve">Szociálpolitikai feladatok </t>
  </si>
  <si>
    <t>12.</t>
  </si>
  <si>
    <t xml:space="preserve">Állami támogatás </t>
  </si>
  <si>
    <t>6.</t>
  </si>
  <si>
    <t>7.</t>
  </si>
  <si>
    <t>Összesen</t>
  </si>
  <si>
    <t>Lakásgazdálkodás egyéb bevétel</t>
  </si>
  <si>
    <t>Kiadások mindösszesen</t>
  </si>
  <si>
    <t>Megnevezés</t>
  </si>
  <si>
    <t>Saját</t>
  </si>
  <si>
    <t>Pénzm.</t>
  </si>
  <si>
    <t>Támog.</t>
  </si>
  <si>
    <t>Polgármesteri Hivatal</t>
  </si>
  <si>
    <t>Idegenforgalmi adó</t>
  </si>
  <si>
    <t>Állategészségügy</t>
  </si>
  <si>
    <t>Családi és társadalmi ünnepségek</t>
  </si>
  <si>
    <t>Polgári védelem</t>
  </si>
  <si>
    <t>Önkormányzati ig.tev.</t>
  </si>
  <si>
    <t>Sportház bevétele</t>
  </si>
  <si>
    <t>Személyi juttatás</t>
  </si>
  <si>
    <t>Felhalm. kiadás</t>
  </si>
  <si>
    <t>Járulékok</t>
  </si>
  <si>
    <t>Dologi kiadások</t>
  </si>
  <si>
    <t>Pénzeszk. átadás</t>
  </si>
  <si>
    <t>Ellátott. pénz.jut.</t>
  </si>
  <si>
    <t>Felúj. kiadás</t>
  </si>
  <si>
    <t>Közterület felügyelet</t>
  </si>
  <si>
    <t>Vendégellenőrök</t>
  </si>
  <si>
    <t xml:space="preserve">Fénymásolás </t>
  </si>
  <si>
    <t>Családi társ. ünnepek</t>
  </si>
  <si>
    <t>Tornacsarnok üzem.</t>
  </si>
  <si>
    <t>Felhalmozás</t>
  </si>
  <si>
    <t>Parkfenntartás</t>
  </si>
  <si>
    <t>Képviselői juttatás</t>
  </si>
  <si>
    <t>Oktatáspol. célfeladat</t>
  </si>
  <si>
    <t>Kötelező orvosi vizsgálat</t>
  </si>
  <si>
    <t>Külön kiadások</t>
  </si>
  <si>
    <t>Kovács Máté Műv.Kp.és Könyvtár</t>
  </si>
  <si>
    <t>Környezetvédelmi Alap</t>
  </si>
  <si>
    <t>Kovács M. Műv. Kp. és Könyvtár</t>
  </si>
  <si>
    <t>Városi Televízió</t>
  </si>
  <si>
    <t>Központi ei., egyéb állami támogatás</t>
  </si>
  <si>
    <t>ÁFA befizetés</t>
  </si>
  <si>
    <t>Úszásoktatás</t>
  </si>
  <si>
    <t>Vagyonbiztosítás</t>
  </si>
  <si>
    <t>Mezőőrség</t>
  </si>
  <si>
    <t xml:space="preserve"> K I A D Á S</t>
  </si>
  <si>
    <t>K I A D Á S</t>
  </si>
  <si>
    <t>Kiskorúak térítési díj átvállalása</t>
  </si>
  <si>
    <t>Városháza takarítás</t>
  </si>
  <si>
    <t>Lakásgazdálkodási bevételei</t>
  </si>
  <si>
    <t>Körzeti építéshatóság</t>
  </si>
  <si>
    <t>Bérlakás érték.törlesztőrészlete + kamat</t>
  </si>
  <si>
    <t>Önkorm. egyéb bevét. és átvett pénzeszk.</t>
  </si>
  <si>
    <t>Agrártermelési támog. mezőőrségre</t>
  </si>
  <si>
    <t>B  E  V É  T  E  L</t>
  </si>
  <si>
    <t xml:space="preserve">   B  E  V É  T  E  L</t>
  </si>
  <si>
    <t>Ingatlan bérbeadása</t>
  </si>
  <si>
    <t>Átengedett központi adók</t>
  </si>
  <si>
    <t>8,11, 13,14</t>
  </si>
  <si>
    <t>8/a,8/b</t>
  </si>
  <si>
    <t>Átv.pénz</t>
  </si>
  <si>
    <t>Működési jellegűek</t>
  </si>
  <si>
    <t>Felhalmozási jellegűek</t>
  </si>
  <si>
    <t xml:space="preserve">Vagyonhasznosítási bevétel </t>
  </si>
  <si>
    <t>Iparűzési adó</t>
  </si>
  <si>
    <t>Gépjárműadó</t>
  </si>
  <si>
    <t>Szoftverhasználati díjak</t>
  </si>
  <si>
    <t>Vízrendezés belvízmentesítés</t>
  </si>
  <si>
    <t>Köztisztaság síktalanítás</t>
  </si>
  <si>
    <t>Karácsonyi-szilveszteri díszkivilágítás</t>
  </si>
  <si>
    <t>Első lakáshozj.hiteltörlesztése</t>
  </si>
  <si>
    <t>Dolgozói lakáskölcsön</t>
  </si>
  <si>
    <t>Vendégkönyv bevétele</t>
  </si>
  <si>
    <t>Folyószámla kamata</t>
  </si>
  <si>
    <t>Fénymásolás</t>
  </si>
  <si>
    <t>O80 telefon kiszáml.</t>
  </si>
  <si>
    <t>O96 civil alap nyomtatvány</t>
  </si>
  <si>
    <t>087 Tiszacsege továbbszámla</t>
  </si>
  <si>
    <t>OOO</t>
  </si>
  <si>
    <t>OO9</t>
  </si>
  <si>
    <t>O44 Balaton Bogl</t>
  </si>
  <si>
    <t>O87 Tiszacsege</t>
  </si>
  <si>
    <t>O89 Füred</t>
  </si>
  <si>
    <t>Vagyonhasználati díj /víz/</t>
  </si>
  <si>
    <t>Vagyonhasználati díj /csatorna/</t>
  </si>
  <si>
    <t>Vagyonhasználati díj /távhő/</t>
  </si>
  <si>
    <t>Polgármesteri Hivatal ig.tev.</t>
  </si>
  <si>
    <t>Felhalmozási célra átvett pénzeszközök</t>
  </si>
  <si>
    <t>Építményadó</t>
  </si>
  <si>
    <t>Önállóan gazdálkodó intézmények kiadásai</t>
  </si>
  <si>
    <t>Önkormányzati egyéb bevételek</t>
  </si>
  <si>
    <t>Önkormányzati egyéb bevételek összesen</t>
  </si>
  <si>
    <t>Polgármesteri Hivatal egyéb bevételek</t>
  </si>
  <si>
    <t>Polgármesteri Hivatal egyéb bevételek összesen</t>
  </si>
  <si>
    <t>Polgármesteri Hivatal működési bevételek</t>
  </si>
  <si>
    <t>Polgármesteri Hivatal működési bevételek összesen</t>
  </si>
  <si>
    <t>Önkormányzati felhalmozási bevételek</t>
  </si>
  <si>
    <t>Önkormányzati felhalmozási bevételek összesen</t>
  </si>
  <si>
    <t>Lakásgazdálkodási bevételei összesen</t>
  </si>
  <si>
    <t>Polgármesteri Hivatal feladatai</t>
  </si>
  <si>
    <t>Polgármesteri Hivatal feladatai összesen</t>
  </si>
  <si>
    <t>Önkormányzati feladatok összesen</t>
  </si>
  <si>
    <t>Polgármesteri Hivatal kiadásai:</t>
  </si>
  <si>
    <t>Önkormányzati feladatok összesen:</t>
  </si>
  <si>
    <t>Polgármesteri Hivatal feladatai összesen:</t>
  </si>
  <si>
    <t>Felhalmozás mindösszesen:</t>
  </si>
  <si>
    <t>Önkormányzati felújítások összesen:</t>
  </si>
  <si>
    <t>Vagyonhasználati díj /sportpálya/</t>
  </si>
  <si>
    <t xml:space="preserve">          Önkormányzat összesen:</t>
  </si>
  <si>
    <t>%</t>
  </si>
  <si>
    <t>O8O mobil</t>
  </si>
  <si>
    <t>Előző évek segélyek visszafiz.</t>
  </si>
  <si>
    <t>Sportpálya fenntartás rezsiköltségei</t>
  </si>
  <si>
    <t>Egyéb (virágcsokor, postaktg stb.)</t>
  </si>
  <si>
    <t>077 cigány, ruszin</t>
  </si>
  <si>
    <t>OO5, 056, 039, 033, 041</t>
  </si>
  <si>
    <t>Mutató</t>
  </si>
  <si>
    <t xml:space="preserve">Település üzemelés </t>
  </si>
  <si>
    <t>Zöldterület gazdálkodás</t>
  </si>
  <si>
    <t>Közvilágítás fenntartása</t>
  </si>
  <si>
    <t xml:space="preserve">Köztemető fenntartása </t>
  </si>
  <si>
    <t>Közutak fenntartása</t>
  </si>
  <si>
    <t>Lakosságszám</t>
  </si>
  <si>
    <t>Óvodapedagógusok bértámogatása</t>
  </si>
  <si>
    <t xml:space="preserve">Óvodaműködtetés tám. </t>
  </si>
  <si>
    <t>III</t>
  </si>
  <si>
    <t xml:space="preserve">Könyvtár közművelődés </t>
  </si>
  <si>
    <t>IV</t>
  </si>
  <si>
    <t xml:space="preserve">Összes normatíva </t>
  </si>
  <si>
    <t>Közvilágítás /átvett utakkal együtt/</t>
  </si>
  <si>
    <t>Utcabútorok karbantartása</t>
  </si>
  <si>
    <t xml:space="preserve">Egyéb áramdíjak </t>
  </si>
  <si>
    <t>Jelzőlámpák üzemeltetése</t>
  </si>
  <si>
    <t>Beiskolázási támogatás</t>
  </si>
  <si>
    <t>Adóigazgatási feladatok</t>
  </si>
  <si>
    <t>Illegális hulladéklerakók felszámolása</t>
  </si>
  <si>
    <t xml:space="preserve">Pénzmadványt terhelő kifizetés </t>
  </si>
  <si>
    <t xml:space="preserve">Hajdúszoboszlói Rendőrkapitányság támogatása </t>
  </si>
  <si>
    <t>Bocskai István Múzeum</t>
  </si>
  <si>
    <t>Építés és településfejlesztés</t>
  </si>
  <si>
    <t>Belterület utak fenntartása</t>
  </si>
  <si>
    <t>Polgárőrség támogatása</t>
  </si>
  <si>
    <t>előző évi pénzmaradvány</t>
  </si>
  <si>
    <t>O10 nyomtatvány (várospropaganda)</t>
  </si>
  <si>
    <t>009 továbbszla</t>
  </si>
  <si>
    <t>Biztosítási térülés</t>
  </si>
  <si>
    <t>O08 gépkocsiPH  /075ÖK</t>
  </si>
  <si>
    <t>Kilátási háromszögek biztosítása</t>
  </si>
  <si>
    <t>Hozzájárulás a pénzbeli szoc. ellátásokhoz</t>
  </si>
  <si>
    <t xml:space="preserve">Egyes szociális és gyermekjóléti fel. támogatása </t>
  </si>
  <si>
    <t>Lakott külterület támogatása</t>
  </si>
  <si>
    <t>Időskorúak nappali int. ellátása</t>
  </si>
  <si>
    <t>074 járásnak továbbszámlázott + 006 + 004</t>
  </si>
  <si>
    <t>OO3 egyéb (bírságok)+egyéb</t>
  </si>
  <si>
    <t>ÁFA visszatér. PH-nál is</t>
  </si>
  <si>
    <t>Babaköszöntő csomag</t>
  </si>
  <si>
    <t>Bursa Hungarica felsőoktatási ösztöndíj</t>
  </si>
  <si>
    <t>Csapadékvíz elvezető rendszer karbantartása</t>
  </si>
  <si>
    <t>Óvodapedagógusok nevelő munkát segítők tám.</t>
  </si>
  <si>
    <t>Szociális étkezés</t>
  </si>
  <si>
    <t>Városi sportpálya fenntartása</t>
  </si>
  <si>
    <t>Városi sport és utánpótlás keret</t>
  </si>
  <si>
    <t>Kulturális és közművelődési keret</t>
  </si>
  <si>
    <t>Külön keretek</t>
  </si>
  <si>
    <t>Egyéb műk. kiadások</t>
  </si>
  <si>
    <t xml:space="preserve">           - Önként vállalt </t>
  </si>
  <si>
    <t xml:space="preserve">Ebből: - Kötelező </t>
  </si>
  <si>
    <t xml:space="preserve">           - Államigazgatási </t>
  </si>
  <si>
    <t>Bocskai István Múzeum (Önként vállalt feladat)</t>
  </si>
  <si>
    <t xml:space="preserve">            - Önként vállalt </t>
  </si>
  <si>
    <t xml:space="preserve">            - Államigazgatási</t>
  </si>
  <si>
    <t>Összesen:</t>
  </si>
  <si>
    <t>Önkormányzati intézmények bevételei</t>
  </si>
  <si>
    <t>Egyéb kiadások (átadott pénzeszközök)</t>
  </si>
  <si>
    <t>Sorszám</t>
  </si>
  <si>
    <t>Közterület használati díj</t>
  </si>
  <si>
    <t>Vagyonhasznosítási bevétel mindösszesen</t>
  </si>
  <si>
    <t>Szúnyog- és rágcsálóirtás, növényvédelem</t>
  </si>
  <si>
    <t>HÉSZ készítése főépítészi feladatokkal</t>
  </si>
  <si>
    <t>Útcsere-Állami tulajdonú utak fenntartása</t>
  </si>
  <si>
    <t>Kerékpárutak fenntartása/kaszálás,síkosságmentesítés/</t>
  </si>
  <si>
    <t xml:space="preserve">TDM támogatása + Tourinform </t>
  </si>
  <si>
    <t>Kistérségi társulás támogatása/tagdíj+közfoglalkoztatás szervező/</t>
  </si>
  <si>
    <t>Pszichiátriai nappali ellátás működéséhez</t>
  </si>
  <si>
    <t>Háziorvos minimum feltétel biztosítása</t>
  </si>
  <si>
    <t>Intézményfelújítások</t>
  </si>
  <si>
    <t>1/H.</t>
  </si>
  <si>
    <t>2/H.</t>
  </si>
  <si>
    <t>3/H.</t>
  </si>
  <si>
    <t>4/H.</t>
  </si>
  <si>
    <t>1/K.</t>
  </si>
  <si>
    <t>1/ÖK</t>
  </si>
  <si>
    <t>2/ÖK</t>
  </si>
  <si>
    <t>3/ÖK</t>
  </si>
  <si>
    <t>4/ÖK</t>
  </si>
  <si>
    <t>1/M</t>
  </si>
  <si>
    <t>2/M</t>
  </si>
  <si>
    <t>3/M</t>
  </si>
  <si>
    <t>4/M</t>
  </si>
  <si>
    <t>1/F</t>
  </si>
  <si>
    <t>2/F</t>
  </si>
  <si>
    <t>1/PH</t>
  </si>
  <si>
    <t>2/PH</t>
  </si>
  <si>
    <t>3/PH</t>
  </si>
  <si>
    <t>4/PH</t>
  </si>
  <si>
    <t>5/PH</t>
  </si>
  <si>
    <t>6/PH</t>
  </si>
  <si>
    <t>7/PH</t>
  </si>
  <si>
    <t>5/ÖK</t>
  </si>
  <si>
    <t>6/ÖK</t>
  </si>
  <si>
    <t>7/ÖK</t>
  </si>
  <si>
    <t>1/LA</t>
  </si>
  <si>
    <t>8/ÖK</t>
  </si>
  <si>
    <t>9/ÖK</t>
  </si>
  <si>
    <t>10/ÖK</t>
  </si>
  <si>
    <t>11/ÖK</t>
  </si>
  <si>
    <t>12/ÖK</t>
  </si>
  <si>
    <t>13/ÖK</t>
  </si>
  <si>
    <t>14/ÖK</t>
  </si>
  <si>
    <t>15/ÖK</t>
  </si>
  <si>
    <t>16/ÖK</t>
  </si>
  <si>
    <t>17/ÖK</t>
  </si>
  <si>
    <t>18/ÖK</t>
  </si>
  <si>
    <t>19/ÖK</t>
  </si>
  <si>
    <t>20/ÖK</t>
  </si>
  <si>
    <t>21/ÖK</t>
  </si>
  <si>
    <t>8/PH</t>
  </si>
  <si>
    <t>9/PH</t>
  </si>
  <si>
    <t>10/PH</t>
  </si>
  <si>
    <t>11/PH</t>
  </si>
  <si>
    <t>12/PH</t>
  </si>
  <si>
    <t>22/ÖK</t>
  </si>
  <si>
    <t>23/ÖK</t>
  </si>
  <si>
    <t>24/ÖK</t>
  </si>
  <si>
    <t>25/ÖK</t>
  </si>
  <si>
    <t>26/ÖK</t>
  </si>
  <si>
    <t>27/ÖK</t>
  </si>
  <si>
    <t>28/ÖK</t>
  </si>
  <si>
    <t>29/ÖK</t>
  </si>
  <si>
    <t>30/ÖK</t>
  </si>
  <si>
    <t>31/ÖK</t>
  </si>
  <si>
    <t>32/ÖK</t>
  </si>
  <si>
    <t>33/ÖK</t>
  </si>
  <si>
    <t>34/ÖK</t>
  </si>
  <si>
    <t>35/ÖK</t>
  </si>
  <si>
    <t>36/ÖK</t>
  </si>
  <si>
    <t>37/ÖK</t>
  </si>
  <si>
    <t>38/ÖK</t>
  </si>
  <si>
    <t>40/ÖK</t>
  </si>
  <si>
    <t>5/M</t>
  </si>
  <si>
    <t>6/M</t>
  </si>
  <si>
    <t>7/M</t>
  </si>
  <si>
    <t>8/M</t>
  </si>
  <si>
    <t>9/M</t>
  </si>
  <si>
    <t>Kiemelt sírok gondozása</t>
  </si>
  <si>
    <t>Mennyiségi egység</t>
  </si>
  <si>
    <t>I.1.a</t>
  </si>
  <si>
    <t>Önkormányzati hivatal működési támogatása</t>
  </si>
  <si>
    <t>I.1.b</t>
  </si>
  <si>
    <t>I.1.ba</t>
  </si>
  <si>
    <t>I.1.bb</t>
  </si>
  <si>
    <t>I.1.bc</t>
  </si>
  <si>
    <t>I.1.bd</t>
  </si>
  <si>
    <t>I.1.c</t>
  </si>
  <si>
    <t xml:space="preserve">Egyéb kötelező önk. feladatok </t>
  </si>
  <si>
    <t>I.1.d</t>
  </si>
  <si>
    <t>I.1.e</t>
  </si>
  <si>
    <t>I.</t>
  </si>
  <si>
    <t>Helyi önkormányzatok működési támogatása összesen:</t>
  </si>
  <si>
    <t>II.1</t>
  </si>
  <si>
    <t>II.2</t>
  </si>
  <si>
    <t>Kieg.tám. az óvodapedag. minősitési többletkiadásaihoz</t>
  </si>
  <si>
    <t>fö</t>
  </si>
  <si>
    <t>II.</t>
  </si>
  <si>
    <t>Egyes köznevelési feladatok támogatása összesen:</t>
  </si>
  <si>
    <t>III.2</t>
  </si>
  <si>
    <t>III.5</t>
  </si>
  <si>
    <t>Gyermekétkeztetés (bér+üzemeltetés)</t>
  </si>
  <si>
    <t>Elismert dolgozók bértámogatása</t>
  </si>
  <si>
    <t>III.5.b</t>
  </si>
  <si>
    <t>Üzemeltetési támogatás</t>
  </si>
  <si>
    <t>Szociális és gyermekjóléti feladatok támogatása összesen:</t>
  </si>
  <si>
    <t>IV.1.d</t>
  </si>
  <si>
    <t>IV.1.e</t>
  </si>
  <si>
    <t>Kulturális feladatok támogatása összesen:</t>
  </si>
  <si>
    <t>Térfigyelő kamerák üzemeltetése</t>
  </si>
  <si>
    <t>Játszóterek karbantartása + kötelező éves felülvizsgálat</t>
  </si>
  <si>
    <t>Közterületi falevél elszállitása lakosságtól</t>
  </si>
  <si>
    <t>Öntözőrendszerek üzemeltetése</t>
  </si>
  <si>
    <t>Utak padkarendezése 1 km</t>
  </si>
  <si>
    <t>Utcanévtáblák pótlása+ információs táblák</t>
  </si>
  <si>
    <t>Önkormányzati erdők művelési feladataira</t>
  </si>
  <si>
    <t>Civil szervezetek és intézmények támogatása</t>
  </si>
  <si>
    <t>41/ÖK</t>
  </si>
  <si>
    <t>42/ÖK</t>
  </si>
  <si>
    <t>43/ÖK</t>
  </si>
  <si>
    <t>44/ÖK</t>
  </si>
  <si>
    <t>45/ÖK</t>
  </si>
  <si>
    <t>46/ÖK</t>
  </si>
  <si>
    <t>47/ÖK</t>
  </si>
  <si>
    <t>Harangház üzemeltetés, karbantartás</t>
  </si>
  <si>
    <t>Közterületi falevél elszállítása</t>
  </si>
  <si>
    <t>Zárt csapadékvízrendszer gépi tisztítása /woma/</t>
  </si>
  <si>
    <t>Óvodás gyermekek vízhez szokatás program /rászorultsági alapon/</t>
  </si>
  <si>
    <t>Hajdúszoboszlói Egyesített Óvoda</t>
  </si>
  <si>
    <t>Műfüves sportpálya üzemeltetése</t>
  </si>
  <si>
    <t>Sportpálya közüzemi díj bevételei</t>
  </si>
  <si>
    <t>Idegen,egyéb adóbevételek</t>
  </si>
  <si>
    <t>Rendszeres települési gyógyszertámogatások</t>
  </si>
  <si>
    <t>Rendszeres települési lakhatási támogatás</t>
  </si>
  <si>
    <t>Rendkivüli települési támogatás</t>
  </si>
  <si>
    <t>Gondozási szüks.kieg.támogatás</t>
  </si>
  <si>
    <t>Kiskoruak élelmiszer és tisztasági csomagja</t>
  </si>
  <si>
    <t>Testvérvárosi kapcsolatok</t>
  </si>
  <si>
    <t>Kényszerkaszálás közterületen</t>
  </si>
  <si>
    <t>Lapkiadás</t>
  </si>
  <si>
    <t>Helyi utak kátyúzása</t>
  </si>
  <si>
    <t>Megszűnt viziközmű társulat kiadásai</t>
  </si>
  <si>
    <t>Továbbszámlázott szolgáltatások</t>
  </si>
  <si>
    <t>Egyházak támogatása</t>
  </si>
  <si>
    <t>Lakott külterületi utak karbantartása</t>
  </si>
  <si>
    <t>I.2.</t>
  </si>
  <si>
    <t>Nem közművel összegyűjtött háztart. szennyvíz ártalmatl.</t>
  </si>
  <si>
    <t>II.4</t>
  </si>
  <si>
    <t>III.3.b</t>
  </si>
  <si>
    <t>Szociális és gyermekjóléti központ</t>
  </si>
  <si>
    <t>Rászoruló gyerekek szünidei étkeztetésére</t>
  </si>
  <si>
    <t xml:space="preserve">I-IV. pontig összesen: </t>
  </si>
  <si>
    <t>Támogató szolgáltatás</t>
  </si>
  <si>
    <t>Önkormányzat Bevétel</t>
  </si>
  <si>
    <t>Polgárm.Hivatal Bevétel</t>
  </si>
  <si>
    <t>Nem közművel összegyűjtött háztartási szennyvíz ártalm.</t>
  </si>
  <si>
    <t>10/M</t>
  </si>
  <si>
    <t>Hajdúszoboszlói Kistérségi Többcélú Társulás támogatása</t>
  </si>
  <si>
    <t>Egyéb működési kiadás</t>
  </si>
  <si>
    <t>Szünidei  gyermekétkeztetés</t>
  </si>
  <si>
    <t>Krízistüzifa</t>
  </si>
  <si>
    <t>Krízisszálló üzemeltetése</t>
  </si>
  <si>
    <t>Hajdúszoboszlói Gyermeksziget Bölcsőde</t>
  </si>
  <si>
    <t>Energetikai szakértés+energetikai stratégia</t>
  </si>
  <si>
    <t>Hajdúszoboszlói Gazdasági Szolgáltató Intézmény</t>
  </si>
  <si>
    <t>Átadott pénzeszközök</t>
  </si>
  <si>
    <t>Határon túli gyerekek táboroztatása</t>
  </si>
  <si>
    <t>támogatás  %</t>
  </si>
  <si>
    <t>3/F</t>
  </si>
  <si>
    <t xml:space="preserve">Beruházások, felújítások </t>
  </si>
  <si>
    <t>Alapítványok támogatása</t>
  </si>
  <si>
    <t>11/M</t>
  </si>
  <si>
    <t>12/M</t>
  </si>
  <si>
    <t>Közterületek felújítása</t>
  </si>
  <si>
    <t>13/M</t>
  </si>
  <si>
    <t>01/ÖK</t>
  </si>
  <si>
    <t>02/ÖK</t>
  </si>
  <si>
    <t>03/ÖK</t>
  </si>
  <si>
    <t>04/ÖK</t>
  </si>
  <si>
    <t>05/ÖK</t>
  </si>
  <si>
    <t>06/ÖK</t>
  </si>
  <si>
    <t>07/ÖK</t>
  </si>
  <si>
    <t>08/ÖK</t>
  </si>
  <si>
    <t>09/ÖK</t>
  </si>
  <si>
    <t>Járásnak továbbszla</t>
  </si>
  <si>
    <t>Lapkiadás hírdetés bevétele</t>
  </si>
  <si>
    <t>sport és utánpótlás keret nyomtatvány</t>
  </si>
  <si>
    <t>Pénzmaradv.igénybevétele /előző évi/</t>
  </si>
  <si>
    <t>Ivóvíz, szennyvízközmű felújítása</t>
  </si>
  <si>
    <t>"Fenntartható közlekedésfejlesztés Hajdúszoboszlón" pályázat</t>
  </si>
  <si>
    <t>"Magyar szürkék útja" pályázat</t>
  </si>
  <si>
    <t>4/F</t>
  </si>
  <si>
    <t>5/F</t>
  </si>
  <si>
    <t>Szoc.ágazati pótlékra + bölcsődei kiegészítő pótlék</t>
  </si>
  <si>
    <t>fapótlásra</t>
  </si>
  <si>
    <t>Bértámogatott dolgozók kiadásai</t>
  </si>
  <si>
    <t>rehab</t>
  </si>
  <si>
    <t>Zöld város pályázat</t>
  </si>
  <si>
    <t>Db-i Agglomeráció Hulladékgazdálkodási Társulás működésére</t>
  </si>
  <si>
    <t>O35 kult.és közműv.alap nyomtatv.</t>
  </si>
  <si>
    <t>Kulturális illetménypótlék</t>
  </si>
  <si>
    <t>Felújítás</t>
  </si>
  <si>
    <t>Továbbszla 063</t>
  </si>
  <si>
    <t>Könyvtár érdekeltségnövelő támogatása</t>
  </si>
  <si>
    <t>Buszos emlőszűrés, iskolaegészségügy kiadásai</t>
  </si>
  <si>
    <t>Bethlen G. Alap támogatása</t>
  </si>
  <si>
    <t>Utcabútor beszerzés</t>
  </si>
  <si>
    <t>Rendkivüli települési támogatás -temetési támogatás-</t>
  </si>
  <si>
    <t>Iker,többes iker gyermekek születésekor pénzbeli, gondozásának természetbeni támogatása</t>
  </si>
  <si>
    <t xml:space="preserve">               -Önként vállalt</t>
  </si>
  <si>
    <t xml:space="preserve"> Ebből: - Kötelező </t>
  </si>
  <si>
    <t>Bölcsödei dolgozók bértámogatása</t>
  </si>
  <si>
    <t>Bölcsőde üzemeltetésre</t>
  </si>
  <si>
    <t>Múzeum működtetés támogatása</t>
  </si>
  <si>
    <t>Szociális és gyermekjóléti szolgálat</t>
  </si>
  <si>
    <t>III.3.a</t>
  </si>
  <si>
    <t>Házi segítségnyújtás - szociális segítés</t>
  </si>
  <si>
    <t>Házi segítségnyújtás - személyi gondozás</t>
  </si>
  <si>
    <t>Óvodai, iskolai szociális segítő tevékenység</t>
  </si>
  <si>
    <t>hó</t>
  </si>
  <si>
    <t>III.5.aa</t>
  </si>
  <si>
    <t>III.5.ab</t>
  </si>
  <si>
    <t>48/ÖK</t>
  </si>
  <si>
    <t>Tour de Hongrie</t>
  </si>
  <si>
    <t>14/M</t>
  </si>
  <si>
    <t>Állami támogatás előlegei és visszafizetése</t>
  </si>
  <si>
    <t>Bölcsőde pályázat (EFOP-1.9.9-17)</t>
  </si>
  <si>
    <t>Kiemelt turisztikai fejlesztési pályázat (GINOP-7.1.9-17)</t>
  </si>
  <si>
    <t>Tartalék, pályázati tartalékok</t>
  </si>
  <si>
    <t>Pótlék, bírság</t>
  </si>
  <si>
    <t>Környezetközpontu irányitás (ISO 14001)</t>
  </si>
  <si>
    <t>Kerékpáros rendezvények</t>
  </si>
  <si>
    <t>Gyermekek Átmeneti Otthona helyettes szülői hálózat műk.</t>
  </si>
  <si>
    <t>KEF működése</t>
  </si>
  <si>
    <t>OVI sportprogram (újabb három óvoda)</t>
  </si>
  <si>
    <t>Ivóvíz közműberuházás</t>
  </si>
  <si>
    <t>Szennyvíz közműberuházás</t>
  </si>
  <si>
    <t>Zárkerti infrastruktúra fejlesztés</t>
  </si>
  <si>
    <t>Műjégpálya üzemeltetése 3 hónap</t>
  </si>
  <si>
    <t>TDM támogatása forgalomélénkítő imázs-kampányra</t>
  </si>
  <si>
    <t>Fásítás</t>
  </si>
  <si>
    <t>Városképi szempontból meghatározó társasházak felújítására</t>
  </si>
  <si>
    <t>Pályázatokra  (bölcsőde)</t>
  </si>
  <si>
    <t>6/F</t>
  </si>
  <si>
    <t>13/PH</t>
  </si>
  <si>
    <t>14/PH</t>
  </si>
  <si>
    <t>49/ÖK</t>
  </si>
  <si>
    <t>15/M</t>
  </si>
  <si>
    <t>16/M</t>
  </si>
  <si>
    <t>Szabadidőpark főépület bérleti díj</t>
  </si>
  <si>
    <t>Önerős közműépítés támogatása</t>
  </si>
  <si>
    <t>Szabadtéri szinpad továbbszámlázás</t>
  </si>
  <si>
    <t>I sz.gyermekorvosi körzet támogatása</t>
  </si>
  <si>
    <t>"Hajdúszoboszló gyógyhely komplex turisztikai fejlesztése" pályázat (GINOP-7.1.9-17)</t>
  </si>
  <si>
    <t>"Zöld klímáért" pályázat</t>
  </si>
  <si>
    <t>Óriáskerék területbérlet</t>
  </si>
  <si>
    <t>Dolgozói lakástm+jut ök</t>
  </si>
  <si>
    <t>Helyi Építészeti-Műszaki Tervtanács</t>
  </si>
  <si>
    <t>Bölcsőde bővítése pályázat</t>
  </si>
  <si>
    <t>Szabadidőpark főépület felújítás</t>
  </si>
  <si>
    <t>Energetikai támogatás önálló lakóingatlanokhoz</t>
  </si>
  <si>
    <t>Köztemetés</t>
  </si>
  <si>
    <t>Ingatlanok vásárlása</t>
  </si>
  <si>
    <t>I sz.gyermekorvosi körzet kiadásai</t>
  </si>
  <si>
    <t>Vállalkozásfejlesztési csoport</t>
  </si>
  <si>
    <t>10%-os bérfejlesztés</t>
  </si>
  <si>
    <t>Szakértőkre,belső ellenőrzésre</t>
  </si>
  <si>
    <t xml:space="preserve">ASP üzemeltetése </t>
  </si>
  <si>
    <t>Igazgatási kiadások /bankköltség, postaköltség/</t>
  </si>
  <si>
    <t>Üdülőhelyi feladatok (beszámítás: -296.184.549 Ft)</t>
  </si>
  <si>
    <t>Gépkocsi beszerzés</t>
  </si>
  <si>
    <t>Szabadidő park üzemeltetése</t>
  </si>
  <si>
    <t>Környezetvédelmi program felülvizsgálata /2021-2025/</t>
  </si>
  <si>
    <t>Úszó szökőkút karbantartása, téliesítése</t>
  </si>
  <si>
    <t>Szováti kerékpárút közvilágítás tervezés és építés</t>
  </si>
  <si>
    <t>Közlekedési csomópontok fejlesztése tanulmány</t>
  </si>
  <si>
    <t>Közvilágítás bővítése /12 helyszín/</t>
  </si>
  <si>
    <t>Hamvas u. csapadékvíz csatorna építése</t>
  </si>
  <si>
    <t>Lovas u. zárt csapadékvíz csatorna építése</t>
  </si>
  <si>
    <t>Baross zug ivóvízvezeték építés</t>
  </si>
  <si>
    <t>Szennyvíz közmű felújítás</t>
  </si>
  <si>
    <t>Tervek hatósági engedélyezése</t>
  </si>
  <si>
    <t>Víztorony felújítása pályázat</t>
  </si>
  <si>
    <t xml:space="preserve">Hídak felülvizsgálata </t>
  </si>
  <si>
    <t>Daru-zug parkoló felújítása + közvilágítás</t>
  </si>
  <si>
    <t>Hősök tere támfal szakértő és burkolat részleges elbontása</t>
  </si>
  <si>
    <t>Mutatványos tér bérleti díja</t>
  </si>
  <si>
    <t xml:space="preserve">Víztorony felújítása pályázat </t>
  </si>
  <si>
    <t>ITS stratégia felülvizsgálata</t>
  </si>
  <si>
    <t>Külterületi utak fejlesztése pályázat</t>
  </si>
  <si>
    <t>VP6-7.2.1-7.4.1.2-16 pályázat külterületi utakra</t>
  </si>
  <si>
    <t>Thermál előtti pavilonok bérleti díja</t>
  </si>
  <si>
    <t>Ötletpályázatra</t>
  </si>
  <si>
    <t>Trianoni emlékmű</t>
  </si>
  <si>
    <t>Szabadtéri színpad üzemeltetése</t>
  </si>
  <si>
    <t>Köznevelési Alap /oktatási alapítványok támogatása/</t>
  </si>
  <si>
    <t>Multifunkciós sportcsarnok kialakítása tanulmányterv</t>
  </si>
  <si>
    <t>Bölcsőde udvari gyerekmosdó</t>
  </si>
  <si>
    <t>Minimálbér, garantált bérminimum városi kihatása, intézményvezetők ösztönzésére</t>
  </si>
  <si>
    <t>Szent István park őrzése</t>
  </si>
  <si>
    <t>Menetrend szerinti helyi autóbusz közlekedés</t>
  </si>
  <si>
    <t>Villamosenergia csatlakozási kiépítése</t>
  </si>
  <si>
    <t>Erdőtelepítés</t>
  </si>
  <si>
    <t>1 db sétányporszívó beszerzése</t>
  </si>
  <si>
    <t>Sószóró és hótoló adapterek beszerzése</t>
  </si>
  <si>
    <t>Járdaépítés tervezéssel, engedélyezéssel a Szent Erzsébet u. (Platán előtt)</t>
  </si>
  <si>
    <t>Gyalogátkelőhelyek kialakítása a József A. u.-Major u. és Füdő u. autóbuszállomás előtt</t>
  </si>
  <si>
    <t>Sport u. komlett rekonstrukciós terve</t>
  </si>
  <si>
    <t>Debreceni virágkarneváli részvétel</t>
  </si>
  <si>
    <t>Térfigyelő kamerák</t>
  </si>
  <si>
    <t>WiFi4 EU rendszer üzemeltetése</t>
  </si>
  <si>
    <t>HÉSZ-re</t>
  </si>
  <si>
    <t>7/F</t>
  </si>
  <si>
    <t>8/F</t>
  </si>
  <si>
    <t>9/F</t>
  </si>
  <si>
    <t>39/ÖK</t>
  </si>
  <si>
    <t>50/ÖK</t>
  </si>
  <si>
    <t>51/ÖK</t>
  </si>
  <si>
    <t>52/ÖK</t>
  </si>
  <si>
    <t>53/ÖK</t>
  </si>
  <si>
    <t>17/M</t>
  </si>
  <si>
    <t>Fásítási alap</t>
  </si>
  <si>
    <t>Mezőőrség gépkocsi vásárlás</t>
  </si>
  <si>
    <t>Hulladékszállítás támogatása</t>
  </si>
  <si>
    <t>II. világháborús emlékmű felújítása</t>
  </si>
  <si>
    <t>Fedett sátor kialakítására, TAO önrészre</t>
  </si>
  <si>
    <t>2020 er.ei</t>
  </si>
  <si>
    <t>2020 mód.ei</t>
  </si>
  <si>
    <t>2020 er.ei.</t>
  </si>
  <si>
    <t>2020 mód.ei.</t>
  </si>
  <si>
    <t>2020 évi eredeti előirányzat</t>
  </si>
  <si>
    <t>2020 évi módosított előirányzat</t>
  </si>
  <si>
    <t>Eredeti előirányzat 2020</t>
  </si>
  <si>
    <t>Módosított ei. 2020</t>
  </si>
  <si>
    <t>2020. évi támogatási előirányzat</t>
  </si>
  <si>
    <t>2020. évi módosított előirányzat</t>
  </si>
  <si>
    <t xml:space="preserve">Eredeti ei </t>
  </si>
  <si>
    <t xml:space="preserve">Mód.ei </t>
  </si>
  <si>
    <t>8a/ÖK</t>
  </si>
  <si>
    <t>Koronavírus járvány elleni védekezésre</t>
  </si>
  <si>
    <t>Fütesz székház megvásárlása</t>
  </si>
  <si>
    <t>Önkormányzati ingatlanok kaszálása,allergén növény kíírtása, síktalanítás</t>
  </si>
  <si>
    <t>Zöld klímáért pályázat</t>
  </si>
  <si>
    <t>Felhalm/felújítás kiadás</t>
  </si>
  <si>
    <t>III.1</t>
  </si>
  <si>
    <t>III.2.a</t>
  </si>
  <si>
    <t>III.2.b</t>
  </si>
  <si>
    <t>III.2.c</t>
  </si>
  <si>
    <t>III.2.da</t>
  </si>
  <si>
    <t>III.2.db</t>
  </si>
  <si>
    <t>III.2.f</t>
  </si>
  <si>
    <t>III.2.l</t>
  </si>
  <si>
    <t>III.2.n</t>
  </si>
  <si>
    <t>I.11</t>
  </si>
  <si>
    <t>Ügyfélszolgálat</t>
  </si>
  <si>
    <t>Téli rezsicsökkentés maradvány visszafizetése</t>
  </si>
  <si>
    <t>2019. évi közter.felújítás fordított ÁFA</t>
  </si>
  <si>
    <t>Szabadidő központ (maradvány)</t>
  </si>
  <si>
    <t>Ebrendészeti telep korszerűsítése (maradvány)</t>
  </si>
  <si>
    <t>Hőgyes-Kossuth u. csomópont építése (maradvány)</t>
  </si>
  <si>
    <t>Közlekedés-fejlesztési pályázat (maradvány)</t>
  </si>
  <si>
    <t>Szováti u. kerékpárút építés (maradvány)</t>
  </si>
  <si>
    <t>Állam általi megelőlegezések (közmunkára)</t>
  </si>
  <si>
    <t>Város bálja bevételek</t>
  </si>
  <si>
    <t>Koronavírus megelőzésének támogatása</t>
  </si>
  <si>
    <t>Ügyfélszolgálat bértámogatása</t>
  </si>
  <si>
    <t>Város bálja kiadások</t>
  </si>
  <si>
    <t>szabad maradvány</t>
  </si>
  <si>
    <t>Bértámogatás</t>
  </si>
  <si>
    <t>Átvett pénz, választás</t>
  </si>
  <si>
    <t>Választás (időközi)</t>
  </si>
  <si>
    <t>teljesítés</t>
  </si>
  <si>
    <t>Idegenforgalmi adó kiegészítés</t>
  </si>
  <si>
    <t>Ép.hat bevétele (eljár.bírság)</t>
  </si>
  <si>
    <t>közter.továbbszámlázás</t>
  </si>
  <si>
    <t>Koronavírus elleni védekezés</t>
  </si>
  <si>
    <t>2019. évi állami támogatás elszámolása</t>
  </si>
  <si>
    <t>022 továbbszla</t>
  </si>
  <si>
    <t>Köznevelési alap nyomtatvány</t>
  </si>
  <si>
    <t>056 nyomtatvány</t>
  </si>
  <si>
    <t>Iskola-egészségügyi kiadások támogatása</t>
  </si>
  <si>
    <t>Szabadidő kp.továbbszla</t>
  </si>
  <si>
    <t>Hőgyes-Kossuth u kötbér</t>
  </si>
  <si>
    <t>Intézmények 2019. évi pénzmaradvány elvonása</t>
  </si>
  <si>
    <t>Rádai és Mikes utcák közti járdaszakasz felújítása</t>
  </si>
  <si>
    <t>Liget Óvoda melegítő konyha felújítása pályázathoz tervek</t>
  </si>
  <si>
    <t>Gyermeksziget Bölcsőde konyhabővítés kiviteli terve</t>
  </si>
  <si>
    <t>Reform.Egyháztól trianoni emlékmű felállításához</t>
  </si>
  <si>
    <t>Térkő értékesítés (Prodest Red.-nak)</t>
  </si>
  <si>
    <t>Közfoglalkoztatás és diákfoglalkoztatás</t>
  </si>
  <si>
    <t>Közmunkára és diákfoglalkoztatásra</t>
  </si>
  <si>
    <t>HSE támogatása - utánpótlás nevelés TAO</t>
  </si>
  <si>
    <t>HSE támogatása - férfi kézilabda szakosztály</t>
  </si>
  <si>
    <t>HSE támogatása - pálya kialakítása</t>
  </si>
  <si>
    <t>HSE támogatása - biztonsági terv készítésére</t>
  </si>
  <si>
    <t>1a/M</t>
  </si>
  <si>
    <t>1b/M</t>
  </si>
  <si>
    <t>1c/M</t>
  </si>
  <si>
    <t>1d/M</t>
  </si>
  <si>
    <t>10/F</t>
  </si>
  <si>
    <t>Kádár u. útburkolat és csapadékvíz fejlesztésére</t>
  </si>
  <si>
    <t>Kádár u. útburkolat és csapadékvíz fejlesztése pályázat</t>
  </si>
  <si>
    <t>Márton-zug szennyvízelvezető rendszer bővítése</t>
  </si>
  <si>
    <t>Köztisztviselői nap, nyugdíjas találkozó</t>
  </si>
  <si>
    <t>Óvodák felújítási tervei</t>
  </si>
  <si>
    <t>Magyar Szürkék Útja pályázat</t>
  </si>
  <si>
    <t xml:space="preserve">selejt </t>
  </si>
  <si>
    <t>Szociális pályázatok</t>
  </si>
  <si>
    <t>Szent István park fejlesztései</t>
  </si>
  <si>
    <t>kiadások visszatérülése</t>
  </si>
  <si>
    <t>Önerős közműfejlesztés támogatása + LTP lejáratok</t>
  </si>
  <si>
    <t>vigalmi negyed továbbszla</t>
  </si>
  <si>
    <t>Emlékoszlop áthelyezése, támfal felújítás</t>
  </si>
  <si>
    <t xml:space="preserve">Bérkompenzáció </t>
  </si>
  <si>
    <t>Mezőőrség bevétele 2019. évről</t>
  </si>
  <si>
    <t>jub.jut.+szabadidő+nyugdíj+felmentés</t>
  </si>
  <si>
    <t>Városi csapadékvíz hálózat fejlesztése pályázat előkészítésére</t>
  </si>
  <si>
    <t>Helyi piac fejlesztése pályázat előkészítésére</t>
  </si>
  <si>
    <t xml:space="preserve">Egyéb </t>
  </si>
  <si>
    <t>Adomány időseknek és rászoruló családoknak</t>
  </si>
  <si>
    <t>2019. évi intézményi felújítás (járóbeteg lift tervezése maradvány)</t>
  </si>
  <si>
    <t>Nyilvános illemhely üzemeltetés szabadtéri színpadnál, szabadidőparkban</t>
  </si>
  <si>
    <t>Városi karbantartásra, kisjavításokra</t>
  </si>
  <si>
    <t>027 továbbszla (Tesco-Aldi,egyéb közter.)</t>
  </si>
  <si>
    <t>Járóbeteg-ellátó Centrum laborvizsgálatok többletkiadásaira</t>
  </si>
  <si>
    <t>Adomány faültetésre</t>
  </si>
  <si>
    <t>Gönczy P.u. krízislakás rendbetétele</t>
  </si>
  <si>
    <t>Kálvin tér parkrendezés</t>
  </si>
  <si>
    <t>Út-, parkoló-, közvilágítás- és csapadékvíz építés (Daru zug, Baross zug, Lovas u)</t>
  </si>
  <si>
    <t>Illegális hulladéklerakók felszámolása pályázat</t>
  </si>
  <si>
    <t>Utasváró pavilonok telepítése, üzemeltetése</t>
  </si>
  <si>
    <t>Hunguest H. parkoló bérlet</t>
  </si>
  <si>
    <t>Városi karbantartásokra</t>
  </si>
  <si>
    <t>11/F</t>
  </si>
  <si>
    <t>Új rendezvényközpont pályázat</t>
  </si>
  <si>
    <t>Óvodakonyha pályázat</t>
  </si>
  <si>
    <t>2021. évi megelőlegezés</t>
  </si>
  <si>
    <t>Új rendezvényközpont</t>
  </si>
  <si>
    <t>II. em. iroda kial.</t>
  </si>
  <si>
    <t>Ügyfélszolgálat/A épület felúj.</t>
  </si>
  <si>
    <t>12/F</t>
  </si>
  <si>
    <t>Szennyvízhez szivattyú pályázat</t>
  </si>
  <si>
    <t>teljesítés/ mód.ei.   %</t>
  </si>
  <si>
    <t>teljesítés/ mód.ei.    %</t>
  </si>
  <si>
    <t>1/K</t>
  </si>
  <si>
    <t>2/K</t>
  </si>
  <si>
    <t>3/K</t>
  </si>
  <si>
    <t>4/K</t>
  </si>
  <si>
    <t>5/K</t>
  </si>
  <si>
    <t>6/K</t>
  </si>
  <si>
    <t>2021 évre</t>
  </si>
  <si>
    <t>2022 évre</t>
  </si>
  <si>
    <t>2023 évre</t>
  </si>
  <si>
    <t>Bevétel</t>
  </si>
  <si>
    <t>Kiadás</t>
  </si>
  <si>
    <t>Ft</t>
  </si>
  <si>
    <t>Megjegyzés</t>
  </si>
  <si>
    <t>Ellátottak térítési díjának elengedése</t>
  </si>
  <si>
    <t>Lakosság részére nyújtott lakáskölcsön mérséklése/elengedése</t>
  </si>
  <si>
    <t>Helyi adó kedvezmények/mentességek</t>
  </si>
  <si>
    <t>Gépjárműadó kedvezmények/mentességek</t>
  </si>
  <si>
    <t>Egyéb kedvezmény (térítésmentes szolgáltatásra)</t>
  </si>
  <si>
    <t>Pályázat</t>
  </si>
  <si>
    <t xml:space="preserve">Támogatási összeg (bevétel) </t>
  </si>
  <si>
    <t>(Tervezett) Önerő</t>
  </si>
  <si>
    <t xml:space="preserve">Összköltség (kiadás) </t>
  </si>
  <si>
    <t>Kipp, kopp, kopogok, bölcsődébe indulok- kisgyermeknevelők a fejlődés útján
EFOP-1.9.9-17-2017-0007</t>
  </si>
  <si>
    <t>Megvalósítás alatt</t>
  </si>
  <si>
    <t>(H)ősök terein- Kálvin tér és környezetének megújítása Hajdúszoboszlón
TOP-2.1.2-15-HB1-2016-00005</t>
  </si>
  <si>
    <t>Megvalósítás befejeződött, pénzügyi zárás folyamatban.</t>
  </si>
  <si>
    <t>A zöld klímáért Hajdúszoboszló városában KEHOP-1.2.1-18-2018-00195</t>
  </si>
  <si>
    <t>Hajdúszoboszló gyógyhely komplex turisztikai fejlesztése
GINOP-7.1.9-17-2018-00011</t>
  </si>
  <si>
    <t>2019. december 31.</t>
  </si>
  <si>
    <t>Nemzeti vagyonba tartozó befektetett eszközök</t>
  </si>
  <si>
    <t>Nemzeti vagyonba tartozó forgó eszközök</t>
  </si>
  <si>
    <t>Pénzeszközök</t>
  </si>
  <si>
    <t>Követelések</t>
  </si>
  <si>
    <t>Egyéb sajátos eszközoldali elszámolások</t>
  </si>
  <si>
    <t>Aktív időbeli elhatárolások</t>
  </si>
  <si>
    <t>Eszközök összesen</t>
  </si>
  <si>
    <t>Saját tőke</t>
  </si>
  <si>
    <t>Kötelezettségek</t>
  </si>
  <si>
    <t>Egyéb sajátos forrásoldali elszámolások</t>
  </si>
  <si>
    <t>Kincstári számlavezetéssel kapcs.elszámolások</t>
  </si>
  <si>
    <t>Passzív időbeli elhatárolások</t>
  </si>
  <si>
    <t>Források összesen</t>
  </si>
  <si>
    <t>Kovács M. Műv. Központ és Könyvtár</t>
  </si>
  <si>
    <t>Önkormányzat</t>
  </si>
  <si>
    <t>Város összesen</t>
  </si>
  <si>
    <t>Könyv-viteli mérleg sora</t>
  </si>
  <si>
    <t>Forgalomképtelen törzsvagyon</t>
  </si>
  <si>
    <t>Nemzetg. szempontból kiemelt</t>
  </si>
  <si>
    <t>Korlátozottan forgalomképes törzsvagyon</t>
  </si>
  <si>
    <t>Üzleti vagyon</t>
  </si>
  <si>
    <t>Ebből 0-ra leírt tárgyi eszközök</t>
  </si>
  <si>
    <t>01-02 számla-csoportban nyilvántartott eszközök</t>
  </si>
  <si>
    <r>
      <rPr>
        <sz val="10"/>
        <color theme="1"/>
        <rFont val="Times New Roman"/>
        <family val="1"/>
        <charset val="238"/>
      </rPr>
      <t>Bruttó értékekből</t>
    </r>
    <r>
      <rPr>
        <b/>
        <sz val="11"/>
        <color theme="1"/>
        <rFont val="Times New Roman"/>
        <family val="1"/>
        <charset val="238"/>
      </rPr>
      <t xml:space="preserve"> kulturális javak, régészeti leletek</t>
    </r>
  </si>
  <si>
    <t>Bruttó érték</t>
  </si>
  <si>
    <t>Halmozott értékcsök-kenés</t>
  </si>
  <si>
    <t>Nettó érték</t>
  </si>
  <si>
    <t>ebből kisértékű</t>
  </si>
  <si>
    <t>A/I.</t>
  </si>
  <si>
    <t>Immateriális javak:</t>
  </si>
  <si>
    <t>A/II/1.</t>
  </si>
  <si>
    <t>Ingatlanok és kapcsolódó vagyoni értékű jogok</t>
  </si>
  <si>
    <t>A/II/2.</t>
  </si>
  <si>
    <t>Gépek, berendezések, felszerelések</t>
  </si>
  <si>
    <t>A/II/3.</t>
  </si>
  <si>
    <t>Tenyészállatok</t>
  </si>
  <si>
    <t>A/II/4.</t>
  </si>
  <si>
    <t>Beruházások, felújítások</t>
  </si>
  <si>
    <t>A/II/5.</t>
  </si>
  <si>
    <t>Tárgyi eszközök értékhelyesbítése</t>
  </si>
  <si>
    <t>A/II.</t>
  </si>
  <si>
    <t>Tárgyi eszközök összesen:</t>
  </si>
  <si>
    <t>A/III/1.</t>
  </si>
  <si>
    <t>Tartós részesedések</t>
  </si>
  <si>
    <t>A/III/2.</t>
  </si>
  <si>
    <t>Tartós hitelviszonyt megtestesítő értékpapír</t>
  </si>
  <si>
    <t>A/III/3.</t>
  </si>
  <si>
    <t>Befektetett pénzügyi eszközök értékhelyesbítése</t>
  </si>
  <si>
    <t>A/III.</t>
  </si>
  <si>
    <t>Befektetett pénzügyi eszközök összesen:</t>
  </si>
  <si>
    <t>A/IV.</t>
  </si>
  <si>
    <t>Koncesszióba, vagyonkezelésbe adott eszközök:</t>
  </si>
  <si>
    <t>A.</t>
  </si>
  <si>
    <t>Nemzeti vagyonba tartozó befektetett eszközök:</t>
  </si>
  <si>
    <t>B/I.</t>
  </si>
  <si>
    <t>Készletek</t>
  </si>
  <si>
    <t>B/II.</t>
  </si>
  <si>
    <t>Értékpapírok</t>
  </si>
  <si>
    <t>B.</t>
  </si>
  <si>
    <t>Nemzeti vagyonba tartozó forgóeszközök:</t>
  </si>
  <si>
    <t>C/I.</t>
  </si>
  <si>
    <t>Lekötött bankbetétek</t>
  </si>
  <si>
    <t>C/II.</t>
  </si>
  <si>
    <t>Pénztárak</t>
  </si>
  <si>
    <t>C/III.</t>
  </si>
  <si>
    <t>Forintszámlák</t>
  </si>
  <si>
    <t>C/IV.</t>
  </si>
  <si>
    <t>Devizaszámlák</t>
  </si>
  <si>
    <t>C.</t>
  </si>
  <si>
    <t>Pénzeszközök:</t>
  </si>
  <si>
    <t>MINDÖSSZESEN:</t>
  </si>
  <si>
    <t>Módosított pénzmaradványból</t>
  </si>
  <si>
    <t>Záró pénzkészlet</t>
  </si>
  <si>
    <t>Előző évi tartalék maradv.</t>
  </si>
  <si>
    <t>Helyesbített pénzmaradvány</t>
  </si>
  <si>
    <t>Kiutalatlan támogatás/                        Kv-i befizetés többlettámog.miatt</t>
  </si>
  <si>
    <t>Pénzmaradványt terhelő elvonás</t>
  </si>
  <si>
    <t>Költségvetési pénzmaradvány</t>
  </si>
  <si>
    <t>Célfeladatra</t>
  </si>
  <si>
    <t>Felhalmozásra/felújításra</t>
  </si>
  <si>
    <t>Pályázatra elkülönített számlák</t>
  </si>
  <si>
    <t>Szabad pénzmaradvány</t>
  </si>
  <si>
    <t>Javasolt elvonás</t>
  </si>
  <si>
    <t>HKSZSZK (tájékoztatásként)</t>
  </si>
  <si>
    <t>Kovács M. Városi Műv.Kp és Könyvtár</t>
  </si>
  <si>
    <t>Hajdúszoboszlói Városi Televízió</t>
  </si>
  <si>
    <t>Hajdúszoboszlói Polgármesteri Hivatal</t>
  </si>
  <si>
    <t>Hajdúszoboszló Város Önkormányzata</t>
  </si>
  <si>
    <t>2019. évi város összesen</t>
  </si>
  <si>
    <t>01        Közhatalmi eredményszemléletű bevételek</t>
  </si>
  <si>
    <t>02        Eszközök és szolg.k ért. nettó eredménysz. bevételei</t>
  </si>
  <si>
    <t>03        Tevékenység egyéb nettó eredményszemléletű bevételei</t>
  </si>
  <si>
    <t>I        Tevékenység nettó eredményszemléletű bevétele (=01+02+03)</t>
  </si>
  <si>
    <t>04        Saját termelésű készletek állományváltozása</t>
  </si>
  <si>
    <t>05        Saját előállítású eszközök aktivált értéke</t>
  </si>
  <si>
    <t>II        Aktivált saját teljesítmények értéke (=±04+05)</t>
  </si>
  <si>
    <t>06        Központi működési célú támogatások eredményszemléletű bevételei</t>
  </si>
  <si>
    <t>07        Egyéb működési célú támogatások eredményszemléletű bevételei</t>
  </si>
  <si>
    <t>09        Különféle egyéb eredményszemléletű bevételek</t>
  </si>
  <si>
    <t>III        Egyéb eredményszemléletű bevételek (=06+07+08+09)</t>
  </si>
  <si>
    <t>10        Anyagköltség</t>
  </si>
  <si>
    <t>11        Igénybe vett szolgáltatások értéke</t>
  </si>
  <si>
    <t>12        Eladott áruk beszerzési értéke</t>
  </si>
  <si>
    <t>13        Eladott (közvetített) szolgáltatások értéke</t>
  </si>
  <si>
    <t xml:space="preserve">IV        Anyagjellegű ráfordítások (=10+11+12+13) </t>
  </si>
  <si>
    <t>14        Bérköltség</t>
  </si>
  <si>
    <t>15       Személyi jellegű egyéb kifizetések</t>
  </si>
  <si>
    <t>16       Bérjárulékok</t>
  </si>
  <si>
    <t>V        Személyi jellegű ráfordítások (=14+15+16)</t>
  </si>
  <si>
    <t>VI        Értékcsökkenési leírás</t>
  </si>
  <si>
    <t>VII        Egyéb ráfordítások</t>
  </si>
  <si>
    <t>A) TEVÉKENYSÉGEK EREDMÉNYE (=I±II+III-IV-V-VI-VII)</t>
  </si>
  <si>
    <t>17        Kapott (járó) osztalék és részesedés</t>
  </si>
  <si>
    <t>18        Részesedésekből származó eredm.szemléletű bevételek</t>
  </si>
  <si>
    <t>19        Befektetett pü. eszk-ből származó eredm.szemléletű bevételek</t>
  </si>
  <si>
    <t>20        Kapott (járó) kamatok és kamatjellegű eredményszemléletű bevételek</t>
  </si>
  <si>
    <t>21        Pénzügyi műveletek egyéb eredményszemléletű bevételei</t>
  </si>
  <si>
    <t>VIII        Pénzügyi műveletek eredményszemléletű bevételei (=17+18+19+20+21)</t>
  </si>
  <si>
    <t>22        Részesedésekből származó ráfordítások, árfolyamveszteségek</t>
  </si>
  <si>
    <t>23        Befektetett pü.eszközökből származó ráfordítások, árfolyamveszteségek</t>
  </si>
  <si>
    <t>24        Fizetendő kamat és kamatjellegű ráfordítás</t>
  </si>
  <si>
    <t>25        Részesedések, értékpapírok, pénzeszközök értékvesztése</t>
  </si>
  <si>
    <t>26        Pénzügyi műveletek egyéb ráfordításai</t>
  </si>
  <si>
    <t>IX        Pénzügyi műveletek ráfordításai (=22+23+24+25+26)</t>
  </si>
  <si>
    <t>B)        PÉNZÜGYI MŰVELETEK EREDMÉNYE (=VIII-IX)</t>
  </si>
  <si>
    <t>C)        MÉRLEG SZERINTI EREDMÉNY (=±A±B)</t>
  </si>
  <si>
    <t>2020. évi város összesen</t>
  </si>
  <si>
    <t>2020. december 31.</t>
  </si>
  <si>
    <t>2024 évre</t>
  </si>
  <si>
    <t>08        Felhalmozási célú támogatások eredményszemléletű bevételei</t>
  </si>
  <si>
    <t>A fentiekből közfoglalkoztatotti létszám:</t>
  </si>
  <si>
    <t>2020. évi költségvetésben engedélyezett létszám</t>
  </si>
  <si>
    <t>2020. évi átlagos statisztikai állományi létszám</t>
  </si>
  <si>
    <t>2021-re áthuzódó kötelezettség</t>
  </si>
  <si>
    <t>telj/mód.ei %</t>
  </si>
  <si>
    <t>B  E  V  É  T  E  L  E K</t>
  </si>
  <si>
    <t>eredeti előirányzat</t>
  </si>
  <si>
    <t>módosított előirányzat</t>
  </si>
  <si>
    <t>teljesítés/ mód.ei.     %</t>
  </si>
  <si>
    <t>építményadó kedvezmény 159 db adótárgyra</t>
  </si>
  <si>
    <t>Új Konferenciaközpont Hajdúszoboszlón
ET-2020-02-072</t>
  </si>
  <si>
    <t>Megvalósítás befejeződött.</t>
  </si>
  <si>
    <t>Hajdúszoboszlói Gyermeksziget Bölcsőde Aprócska Bölcsődei Tagintézményének létrehozása
TOP-1.4.1-19-HB1-2019-00013</t>
  </si>
  <si>
    <t>Hajdúszoboszló külterületi útjainak felújítása
VP6-7.2.1-7.4.1.2-16 (1826676806)</t>
  </si>
  <si>
    <t>Közterület, helyiségek, eszközök hasznosításából származó bevételek kedvezményei/mentességek</t>
  </si>
  <si>
    <t>kedvezményes, ingyenes igénybevétel 20 alkalom tornacsarnok; 40 alkalom a művelődési ház és 3 alkalom a rendezvényközpont esetén</t>
  </si>
  <si>
    <t>21 db előkertes szerződés; 3 db közterület-hasznosítás; 3 db pavilonos; mutatványos tér és bringó hintó</t>
  </si>
  <si>
    <t>5/H</t>
  </si>
  <si>
    <t>Magyar Szürkék Útja - kulturális tematikus útvonal Hajdú-Bihar megyében
TOP-1.2.1-15-HB1-2016-00020</t>
  </si>
  <si>
    <t>Fenntartható közlekedésfejlesztés Hajdúszoboszlón
TOP-3.1.1-15-HB1-2016-00007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</si>
</sst>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8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indexed="18"/>
      <name val="MS Sans Serif"/>
      <family val="2"/>
      <charset val="238"/>
    </font>
    <font>
      <b/>
      <sz val="10"/>
      <color indexed="18"/>
      <name val="MS Sans Serif"/>
      <family val="2"/>
      <charset val="238"/>
    </font>
    <font>
      <b/>
      <sz val="12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6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name val="Times New Roman CE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 CE"/>
      <family val="1"/>
      <charset val="238"/>
    </font>
    <font>
      <b/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color indexed="8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MS Sans Serif"/>
      <family val="2"/>
      <charset val="238"/>
    </font>
    <font>
      <b/>
      <i/>
      <sz val="10"/>
      <color indexed="10"/>
      <name val="Times New Roman"/>
      <family val="1"/>
      <charset val="238"/>
    </font>
    <font>
      <b/>
      <sz val="10"/>
      <color indexed="8"/>
      <name val="Times New Roman CE"/>
      <charset val="238"/>
    </font>
    <font>
      <b/>
      <sz val="14"/>
      <color indexed="18"/>
      <name val="Times New Roman CE"/>
      <family val="1"/>
      <charset val="238"/>
    </font>
    <font>
      <sz val="14"/>
      <name val="Times New Roman CE"/>
      <family val="1"/>
      <charset val="238"/>
    </font>
    <font>
      <sz val="14"/>
      <color indexed="8"/>
      <name val="Times New Roman CE"/>
      <family val="1"/>
      <charset val="238"/>
    </font>
    <font>
      <sz val="10"/>
      <name val="MS Sans Serif"/>
      <family val="2"/>
      <charset val="238"/>
    </font>
    <font>
      <sz val="10"/>
      <color indexed="10"/>
      <name val="MS Sans Serif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MS Sans Serif"/>
      <family val="2"/>
      <charset val="238"/>
    </font>
    <font>
      <sz val="10"/>
      <name val="MS Sans Serif"/>
      <family val="2"/>
      <charset val="238"/>
    </font>
    <font>
      <b/>
      <sz val="8"/>
      <name val="Times New Roman CE"/>
      <family val="1"/>
      <charset val="238"/>
    </font>
    <font>
      <b/>
      <sz val="12"/>
      <name val="Times New Roman CE"/>
      <charset val="238"/>
    </font>
    <font>
      <sz val="10"/>
      <color indexed="10"/>
      <name val="Times New Roman CE"/>
      <family val="1"/>
      <charset val="238"/>
    </font>
    <font>
      <sz val="14"/>
      <color indexed="10"/>
      <name val="Times New Roman CE"/>
      <family val="1"/>
      <charset val="238"/>
    </font>
    <font>
      <b/>
      <sz val="10"/>
      <color indexed="1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1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1"/>
      <name val="MS Sans Serif"/>
      <family val="2"/>
      <charset val="238"/>
    </font>
    <font>
      <sz val="11"/>
      <color indexed="10"/>
      <name val="MS Sans Serif"/>
      <family val="2"/>
      <charset val="238"/>
    </font>
    <font>
      <sz val="1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sz val="10"/>
      <name val="MS Sans Serif"/>
      <charset val="238"/>
    </font>
    <font>
      <sz val="12"/>
      <name val="Times New Roman CE"/>
      <family val="1"/>
      <charset val="238"/>
    </font>
    <font>
      <sz val="12"/>
      <name val="MS Sans Serif"/>
      <family val="2"/>
      <charset val="238"/>
    </font>
    <font>
      <sz val="12"/>
      <name val="MS Sans Serif"/>
      <charset val="238"/>
    </font>
    <font>
      <b/>
      <sz val="12"/>
      <name val="MS Sans Serif"/>
      <family val="2"/>
      <charset val="238"/>
    </font>
    <font>
      <b/>
      <sz val="12"/>
      <color indexed="8"/>
      <name val="Times New Roman CE"/>
      <charset val="238"/>
    </font>
    <font>
      <sz val="11"/>
      <color indexed="8"/>
      <name val="Times New Roman CE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MS Sans Serif"/>
      <charset val="238"/>
    </font>
    <font>
      <sz val="12"/>
      <color indexed="8"/>
      <name val="Times New Roman CE"/>
      <charset val="238"/>
    </font>
    <font>
      <b/>
      <sz val="10"/>
      <color indexed="18"/>
      <name val="MS Sans Serif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2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double">
        <color indexed="64"/>
      </right>
      <top/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double">
        <color indexed="64"/>
      </top>
      <bottom/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auto="1"/>
      </right>
      <top style="double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double">
        <color indexed="8"/>
      </top>
      <bottom style="thin">
        <color auto="1"/>
      </bottom>
      <diagonal/>
    </border>
    <border>
      <left style="medium">
        <color auto="1"/>
      </left>
      <right style="double">
        <color indexed="8"/>
      </right>
      <top style="double">
        <color indexed="8"/>
      </top>
      <bottom style="thin">
        <color auto="1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indexed="8"/>
      </right>
      <top style="thin">
        <color auto="1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indexed="8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medium">
        <color indexed="8"/>
      </right>
      <top style="double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6" fillId="0" borderId="1">
      <alignment vertical="center"/>
    </xf>
    <xf numFmtId="1" fontId="11" fillId="2" borderId="2" applyFill="0">
      <alignment vertical="center"/>
    </xf>
    <xf numFmtId="0" fontId="6" fillId="0" borderId="1">
      <alignment vertical="center"/>
    </xf>
    <xf numFmtId="1" fontId="10" fillId="0" borderId="2">
      <alignment vertical="center"/>
      <protection locked="0"/>
    </xf>
    <xf numFmtId="0" fontId="7" fillId="0" borderId="3" applyNumberFormat="0" applyFont="0" applyFill="0" applyAlignment="0">
      <alignment horizontal="center"/>
    </xf>
    <xf numFmtId="0" fontId="30" fillId="0" borderId="0"/>
    <xf numFmtId="0" fontId="6" fillId="0" borderId="0"/>
    <xf numFmtId="10" fontId="10" fillId="0" borderId="2">
      <alignment vertical="center"/>
    </xf>
    <xf numFmtId="0" fontId="10" fillId="0" borderId="2" applyNumberFormat="0" applyFill="0">
      <alignment vertical="center"/>
    </xf>
    <xf numFmtId="0" fontId="9" fillId="0" borderId="2" applyNumberFormat="0" applyFill="0">
      <alignment horizontal="left" vertical="center"/>
    </xf>
    <xf numFmtId="0" fontId="19" fillId="0" borderId="2" applyNumberFormat="0" applyFill="0">
      <alignment horizontal="left" vertical="center"/>
    </xf>
    <xf numFmtId="0" fontId="10" fillId="0" borderId="2">
      <alignment horizontal="left" vertical="center" wrapText="1"/>
    </xf>
    <xf numFmtId="0" fontId="9" fillId="0" borderId="1">
      <alignment horizontal="center" vertical="center" textRotation="90" wrapText="1"/>
    </xf>
    <xf numFmtId="0" fontId="13" fillId="0" borderId="2" applyNumberFormat="0" applyFill="0">
      <alignment horizontal="center" vertical="center"/>
    </xf>
    <xf numFmtId="0" fontId="9" fillId="0" borderId="2" applyNumberFormat="0" applyFill="0">
      <alignment horizontal="center" vertical="center"/>
    </xf>
    <xf numFmtId="0" fontId="17" fillId="0" borderId="2" applyNumberFormat="0">
      <alignment horizontal="center" vertical="center" textRotation="90" wrapText="1"/>
    </xf>
    <xf numFmtId="164" fontId="10" fillId="3" borderId="2" applyFill="0">
      <alignment vertical="center"/>
      <protection locked="0"/>
    </xf>
    <xf numFmtId="164" fontId="10" fillId="0" borderId="2">
      <alignment vertical="center"/>
    </xf>
    <xf numFmtId="0" fontId="9" fillId="0" borderId="0" applyNumberFormat="0" applyFont="0" applyFill="0" applyAlignment="0">
      <alignment horizontal="left" vertical="center"/>
    </xf>
    <xf numFmtId="0" fontId="9" fillId="0" borderId="2" applyNumberFormat="0" applyFont="0" applyFill="0" applyAlignment="0">
      <alignment horizontal="left" vertical="center"/>
    </xf>
    <xf numFmtId="43" fontId="65" fillId="0" borderId="0" applyFont="0" applyFill="0" applyBorder="0" applyAlignment="0" applyProtection="0"/>
    <xf numFmtId="0" fontId="3" fillId="0" borderId="0"/>
    <xf numFmtId="0" fontId="65" fillId="0" borderId="0"/>
    <xf numFmtId="0" fontId="9" fillId="0" borderId="313" applyNumberFormat="0" applyFill="0">
      <alignment horizontal="center" vertical="center"/>
    </xf>
    <xf numFmtId="0" fontId="10" fillId="0" borderId="313" applyNumberFormat="0" applyFill="0">
      <alignment horizontal="left" vertical="center" wrapText="1"/>
    </xf>
    <xf numFmtId="0" fontId="10" fillId="0" borderId="313" applyNumberFormat="0" applyFill="0">
      <alignment vertical="center"/>
    </xf>
    <xf numFmtId="0" fontId="2" fillId="0" borderId="0"/>
    <xf numFmtId="0" fontId="19" fillId="0" borderId="313" applyNumberFormat="0" applyFill="0">
      <alignment horizontal="left" vertical="center"/>
    </xf>
    <xf numFmtId="0" fontId="17" fillId="0" borderId="313" applyNumberFormat="0">
      <alignment horizontal="center" vertical="center" textRotation="90" wrapText="1"/>
    </xf>
    <xf numFmtId="1" fontId="10" fillId="0" borderId="313">
      <alignment vertical="center"/>
      <protection locked="0"/>
    </xf>
    <xf numFmtId="1" fontId="11" fillId="2" borderId="313" applyFill="0">
      <alignment vertical="center"/>
    </xf>
    <xf numFmtId="0" fontId="9" fillId="0" borderId="313" applyNumberFormat="0" applyFill="0">
      <alignment horizontal="left" vertical="center"/>
    </xf>
    <xf numFmtId="0" fontId="9" fillId="0" borderId="313" applyNumberFormat="0" applyFill="0">
      <alignment horizontal="center" vertical="center"/>
    </xf>
    <xf numFmtId="0" fontId="2" fillId="0" borderId="0"/>
    <xf numFmtId="0" fontId="10" fillId="0" borderId="313" applyNumberFormat="0" applyFill="0">
      <alignment vertical="center"/>
    </xf>
    <xf numFmtId="1" fontId="10" fillId="0" borderId="313">
      <alignment vertical="center"/>
      <protection locked="0"/>
    </xf>
    <xf numFmtId="1" fontId="11" fillId="2" borderId="313" applyFill="0">
      <alignment vertical="center"/>
    </xf>
    <xf numFmtId="0" fontId="6" fillId="0" borderId="0"/>
    <xf numFmtId="0" fontId="1" fillId="0" borderId="0"/>
  </cellStyleXfs>
  <cellXfs count="1323">
    <xf numFmtId="0" fontId="0" fillId="0" borderId="0" xfId="0"/>
    <xf numFmtId="0" fontId="0" fillId="0" borderId="0" xfId="0" applyBorder="1"/>
    <xf numFmtId="0" fontId="9" fillId="0" borderId="4" xfId="15" applyFill="1" applyBorder="1">
      <alignment horizontal="center" vertical="center"/>
    </xf>
    <xf numFmtId="0" fontId="9" fillId="0" borderId="5" xfId="15" applyFill="1" applyBorder="1">
      <alignment horizontal="center" vertical="center"/>
    </xf>
    <xf numFmtId="0" fontId="9" fillId="0" borderId="4" xfId="15" applyFont="1" applyFill="1" applyBorder="1">
      <alignment horizontal="center" vertical="center"/>
    </xf>
    <xf numFmtId="0" fontId="9" fillId="0" borderId="6" xfId="15" applyFill="1" applyBorder="1">
      <alignment horizontal="center" vertical="center"/>
    </xf>
    <xf numFmtId="0" fontId="8" fillId="0" borderId="9" xfId="0" applyFont="1" applyFill="1" applyBorder="1" applyAlignment="1">
      <alignment horizontal="left"/>
    </xf>
    <xf numFmtId="0" fontId="10" fillId="0" borderId="11" xfId="9" applyFont="1" applyFill="1" applyBorder="1">
      <alignment vertical="center"/>
    </xf>
    <xf numFmtId="0" fontId="10" fillId="0" borderId="7" xfId="9" applyFont="1" applyFill="1" applyBorder="1" applyAlignment="1">
      <alignment horizontal="left" vertical="center" wrapText="1"/>
    </xf>
    <xf numFmtId="0" fontId="9" fillId="0" borderId="12" xfId="15" applyFont="1" applyFill="1" applyBorder="1" applyAlignment="1">
      <alignment horizontal="centerContinuous" vertical="center"/>
    </xf>
    <xf numFmtId="0" fontId="13" fillId="0" borderId="7" xfId="9" applyFont="1" applyFill="1" applyBorder="1">
      <alignment vertical="center"/>
    </xf>
    <xf numFmtId="0" fontId="9" fillId="0" borderId="13" xfId="15" applyFont="1" applyFill="1" applyBorder="1">
      <alignment horizontal="center" vertical="center"/>
    </xf>
    <xf numFmtId="3" fontId="11" fillId="0" borderId="14" xfId="2" applyNumberFormat="1" applyFill="1" applyBorder="1">
      <alignment vertical="center"/>
    </xf>
    <xf numFmtId="3" fontId="0" fillId="0" borderId="0" xfId="0" applyNumberFormat="1"/>
    <xf numFmtId="0" fontId="9" fillId="0" borderId="15" xfId="15" applyFill="1" applyBorder="1">
      <alignment horizontal="center" vertical="center"/>
    </xf>
    <xf numFmtId="3" fontId="11" fillId="0" borderId="2" xfId="4" applyNumberFormat="1" applyFont="1" applyFill="1" applyBorder="1">
      <alignment vertical="center"/>
      <protection locked="0"/>
    </xf>
    <xf numFmtId="3" fontId="11" fillId="0" borderId="2" xfId="2" applyNumberFormat="1" applyFont="1" applyFill="1" applyBorder="1">
      <alignment vertical="center"/>
    </xf>
    <xf numFmtId="0" fontId="4" fillId="0" borderId="0" xfId="0" applyFont="1"/>
    <xf numFmtId="3" fontId="11" fillId="0" borderId="16" xfId="2" applyNumberFormat="1" applyFont="1" applyFill="1" applyBorder="1">
      <alignment vertical="center"/>
    </xf>
    <xf numFmtId="3" fontId="11" fillId="0" borderId="14" xfId="2" applyNumberFormat="1" applyFont="1" applyFill="1" applyBorder="1">
      <alignment vertical="center"/>
    </xf>
    <xf numFmtId="3" fontId="11" fillId="0" borderId="21" xfId="2" applyNumberFormat="1" applyFont="1" applyFill="1" applyBorder="1">
      <alignment vertical="center"/>
    </xf>
    <xf numFmtId="3" fontId="16" fillId="0" borderId="22" xfId="2" applyNumberFormat="1" applyFont="1" applyFill="1" applyBorder="1">
      <alignment vertical="center"/>
    </xf>
    <xf numFmtId="3" fontId="11" fillId="0" borderId="24" xfId="2" applyNumberFormat="1" applyFont="1" applyFill="1" applyBorder="1">
      <alignment vertical="center"/>
    </xf>
    <xf numFmtId="0" fontId="6" fillId="0" borderId="0" xfId="0" applyFont="1"/>
    <xf numFmtId="3" fontId="11" fillId="0" borderId="0" xfId="4" applyNumberFormat="1" applyFont="1" applyFill="1" applyBorder="1">
      <alignment vertical="center"/>
      <protection locked="0"/>
    </xf>
    <xf numFmtId="3" fontId="11" fillId="0" borderId="14" xfId="4" applyNumberFormat="1" applyFont="1" applyFill="1" applyBorder="1">
      <alignment vertical="center"/>
      <protection locked="0"/>
    </xf>
    <xf numFmtId="3" fontId="14" fillId="0" borderId="0" xfId="6" applyNumberFormat="1" applyFont="1" applyFill="1" applyAlignment="1">
      <alignment vertical="center"/>
    </xf>
    <xf numFmtId="3" fontId="32" fillId="0" borderId="0" xfId="6" applyNumberFormat="1" applyFont="1" applyFill="1" applyAlignment="1">
      <alignment vertical="center"/>
    </xf>
    <xf numFmtId="3" fontId="35" fillId="0" borderId="0" xfId="6" applyNumberFormat="1" applyFont="1" applyFill="1" applyAlignment="1">
      <alignment vertical="center"/>
    </xf>
    <xf numFmtId="3" fontId="11" fillId="0" borderId="16" xfId="4" applyNumberFormat="1" applyFont="1" applyFill="1" applyBorder="1">
      <alignment vertical="center"/>
      <protection locked="0"/>
    </xf>
    <xf numFmtId="3" fontId="14" fillId="0" borderId="27" xfId="0" applyNumberFormat="1" applyFont="1" applyFill="1" applyBorder="1" applyAlignment="1">
      <alignment vertical="center"/>
    </xf>
    <xf numFmtId="3" fontId="11" fillId="0" borderId="28" xfId="2" applyNumberFormat="1" applyFont="1" applyFill="1" applyBorder="1">
      <alignment vertical="center"/>
    </xf>
    <xf numFmtId="0" fontId="9" fillId="0" borderId="30" xfId="15" applyFont="1" applyFill="1" applyBorder="1">
      <alignment horizontal="center" vertical="center"/>
    </xf>
    <xf numFmtId="3" fontId="10" fillId="0" borderId="2" xfId="4" applyNumberFormat="1" applyFill="1" applyBorder="1">
      <alignment vertical="center"/>
      <protection locked="0"/>
    </xf>
    <xf numFmtId="0" fontId="22" fillId="0" borderId="0" xfId="0" applyFont="1" applyFill="1"/>
    <xf numFmtId="0" fontId="29" fillId="0" borderId="0" xfId="0" applyFont="1" applyFill="1"/>
    <xf numFmtId="3" fontId="11" fillId="0" borderId="31" xfId="4" applyNumberFormat="1" applyFont="1" applyFill="1" applyBorder="1">
      <alignment vertical="center"/>
      <protection locked="0"/>
    </xf>
    <xf numFmtId="3" fontId="11" fillId="0" borderId="32" xfId="4" applyNumberFormat="1" applyFont="1" applyFill="1" applyBorder="1">
      <alignment vertical="center"/>
      <protection locked="0"/>
    </xf>
    <xf numFmtId="3" fontId="11" fillId="0" borderId="33" xfId="4" applyNumberFormat="1" applyFont="1" applyFill="1" applyBorder="1">
      <alignment vertical="center"/>
      <protection locked="0"/>
    </xf>
    <xf numFmtId="3" fontId="14" fillId="0" borderId="0" xfId="6" applyNumberFormat="1" applyFont="1" applyFill="1" applyAlignment="1">
      <alignment horizontal="center" vertical="center"/>
    </xf>
    <xf numFmtId="3" fontId="37" fillId="0" borderId="0" xfId="6" applyNumberFormat="1" applyFont="1" applyFill="1" applyAlignment="1">
      <alignment vertical="center"/>
    </xf>
    <xf numFmtId="0" fontId="0" fillId="0" borderId="0" xfId="0" applyFill="1"/>
    <xf numFmtId="0" fontId="9" fillId="0" borderId="8" xfId="13" applyFill="1" applyBorder="1">
      <alignment horizontal="center" vertical="center" textRotation="90" wrapText="1"/>
    </xf>
    <xf numFmtId="0" fontId="9" fillId="0" borderId="8" xfId="13" applyFont="1" applyFill="1" applyBorder="1">
      <alignment horizontal="center" vertical="center" textRotation="90" wrapText="1"/>
    </xf>
    <xf numFmtId="3" fontId="10" fillId="0" borderId="2" xfId="4" applyNumberFormat="1" applyFont="1" applyFill="1" applyBorder="1">
      <alignment vertical="center"/>
      <protection locked="0"/>
    </xf>
    <xf numFmtId="3" fontId="13" fillId="0" borderId="2" xfId="4" applyNumberFormat="1" applyFont="1" applyFill="1" applyBorder="1">
      <alignment vertical="center"/>
      <protection locked="0"/>
    </xf>
    <xf numFmtId="3" fontId="16" fillId="0" borderId="2" xfId="4" applyNumberFormat="1" applyFont="1" applyFill="1" applyBorder="1">
      <alignment vertical="center"/>
      <protection locked="0"/>
    </xf>
    <xf numFmtId="3" fontId="11" fillId="0" borderId="34" xfId="4" applyNumberFormat="1" applyFont="1" applyFill="1" applyBorder="1">
      <alignment vertical="center"/>
      <protection locked="0"/>
    </xf>
    <xf numFmtId="3" fontId="16" fillId="0" borderId="14" xfId="4" applyNumberFormat="1" applyFont="1" applyFill="1" applyBorder="1">
      <alignment vertical="center"/>
      <protection locked="0"/>
    </xf>
    <xf numFmtId="0" fontId="15" fillId="0" borderId="8" xfId="13" applyFont="1" applyFill="1" applyBorder="1" applyAlignment="1">
      <alignment horizontal="center" vertical="center" textRotation="90" wrapText="1"/>
    </xf>
    <xf numFmtId="3" fontId="11" fillId="0" borderId="36" xfId="2" applyNumberFormat="1" applyFont="1" applyFill="1" applyBorder="1">
      <alignment vertical="center"/>
    </xf>
    <xf numFmtId="3" fontId="11" fillId="0" borderId="37" xfId="2" applyNumberFormat="1" applyFont="1" applyFill="1" applyBorder="1">
      <alignment vertical="center"/>
    </xf>
    <xf numFmtId="3" fontId="16" fillId="0" borderId="38" xfId="4" applyNumberFormat="1" applyFont="1" applyFill="1" applyBorder="1">
      <alignment vertical="center"/>
      <protection locked="0"/>
    </xf>
    <xf numFmtId="3" fontId="16" fillId="0" borderId="22" xfId="4" applyNumberFormat="1" applyFont="1" applyFill="1" applyBorder="1">
      <alignment vertical="center"/>
      <protection locked="0"/>
    </xf>
    <xf numFmtId="3" fontId="11" fillId="0" borderId="40" xfId="2" applyNumberFormat="1" applyFont="1" applyFill="1" applyBorder="1">
      <alignment vertical="center"/>
    </xf>
    <xf numFmtId="0" fontId="0" fillId="0" borderId="0" xfId="0" applyFill="1" applyBorder="1"/>
    <xf numFmtId="3" fontId="32" fillId="0" borderId="0" xfId="6" applyNumberFormat="1" applyFont="1" applyFill="1" applyAlignment="1">
      <alignment horizontal="center" vertical="center"/>
    </xf>
    <xf numFmtId="3" fontId="14" fillId="0" borderId="0" xfId="6" applyNumberFormat="1" applyFont="1" applyFill="1" applyAlignment="1">
      <alignment horizontal="right" vertical="center"/>
    </xf>
    <xf numFmtId="0" fontId="9" fillId="0" borderId="9" xfId="15" applyFill="1" applyBorder="1">
      <alignment horizontal="center" vertical="center"/>
    </xf>
    <xf numFmtId="0" fontId="9" fillId="0" borderId="12" xfId="15" applyFill="1" applyBorder="1" applyAlignment="1">
      <alignment horizontal="centerContinuous" vertical="center"/>
    </xf>
    <xf numFmtId="0" fontId="15" fillId="0" borderId="43" xfId="15" applyFont="1" applyFill="1" applyBorder="1" applyAlignment="1">
      <alignment horizontal="centerContinuous" vertical="center"/>
    </xf>
    <xf numFmtId="0" fontId="9" fillId="0" borderId="44" xfId="15" applyFill="1" applyBorder="1">
      <alignment horizontal="center" vertical="center"/>
    </xf>
    <xf numFmtId="0" fontId="9" fillId="0" borderId="5" xfId="15" applyFont="1" applyFill="1" applyBorder="1">
      <alignment horizontal="center" vertical="center"/>
    </xf>
    <xf numFmtId="0" fontId="15" fillId="0" borderId="5" xfId="15" applyFont="1" applyFill="1" applyBorder="1">
      <alignment horizontal="center" vertical="center"/>
    </xf>
    <xf numFmtId="0" fontId="10" fillId="0" borderId="0" xfId="9" applyFont="1" applyFill="1" applyBorder="1">
      <alignment vertical="center"/>
    </xf>
    <xf numFmtId="0" fontId="39" fillId="0" borderId="9" xfId="0" applyFont="1" applyFill="1" applyBorder="1" applyAlignment="1">
      <alignment horizontal="left"/>
    </xf>
    <xf numFmtId="0" fontId="21" fillId="0" borderId="45" xfId="10" applyFont="1" applyFill="1" applyBorder="1">
      <alignment horizontal="left" vertical="center"/>
    </xf>
    <xf numFmtId="0" fontId="12" fillId="0" borderId="6" xfId="15" applyFont="1" applyFill="1" applyBorder="1">
      <alignment horizontal="center" vertical="center"/>
    </xf>
    <xf numFmtId="0" fontId="41" fillId="0" borderId="7" xfId="9" applyFont="1" applyFill="1" applyBorder="1" applyAlignment="1">
      <alignment horizontal="left" vertical="center" wrapText="1"/>
    </xf>
    <xf numFmtId="1" fontId="0" fillId="0" borderId="0" xfId="0" applyNumberFormat="1"/>
    <xf numFmtId="1" fontId="4" fillId="0" borderId="0" xfId="0" applyNumberFormat="1" applyFont="1"/>
    <xf numFmtId="9" fontId="41" fillId="0" borderId="7" xfId="9" applyNumberFormat="1" applyFont="1" applyFill="1" applyBorder="1" applyAlignment="1">
      <alignment horizontal="left" vertical="center" wrapText="1"/>
    </xf>
    <xf numFmtId="0" fontId="12" fillId="0" borderId="46" xfId="15" applyFont="1" applyFill="1" applyBorder="1">
      <alignment horizontal="center" vertical="center"/>
    </xf>
    <xf numFmtId="3" fontId="40" fillId="0" borderId="47" xfId="2" applyNumberFormat="1" applyFont="1" applyFill="1" applyBorder="1">
      <alignment vertical="center"/>
    </xf>
    <xf numFmtId="3" fontId="40" fillId="0" borderId="48" xfId="2" applyNumberFormat="1" applyFont="1" applyFill="1" applyBorder="1">
      <alignment vertical="center"/>
    </xf>
    <xf numFmtId="0" fontId="21" fillId="0" borderId="0" xfId="0" applyFont="1" applyFill="1" applyBorder="1"/>
    <xf numFmtId="3" fontId="10" fillId="0" borderId="14" xfId="4" applyNumberFormat="1" applyFill="1" applyBorder="1">
      <alignment vertical="center"/>
      <protection locked="0"/>
    </xf>
    <xf numFmtId="0" fontId="4" fillId="0" borderId="0" xfId="0" applyFont="1" applyFill="1"/>
    <xf numFmtId="3" fontId="11" fillId="0" borderId="51" xfId="2" applyNumberFormat="1" applyFill="1" applyBorder="1">
      <alignment vertical="center"/>
    </xf>
    <xf numFmtId="3" fontId="0" fillId="0" borderId="0" xfId="0" applyNumberFormat="1" applyFill="1"/>
    <xf numFmtId="0" fontId="6" fillId="0" borderId="0" xfId="0" applyFont="1" applyFill="1"/>
    <xf numFmtId="0" fontId="6" fillId="0" borderId="0" xfId="7" applyFill="1"/>
    <xf numFmtId="0" fontId="4" fillId="0" borderId="0" xfId="7" applyFont="1" applyFill="1"/>
    <xf numFmtId="3" fontId="11" fillId="0" borderId="54" xfId="4" applyNumberFormat="1" applyFont="1" applyFill="1" applyBorder="1">
      <alignment vertical="center"/>
      <protection locked="0"/>
    </xf>
    <xf numFmtId="3" fontId="10" fillId="0" borderId="56" xfId="4" applyNumberFormat="1" applyFill="1" applyBorder="1">
      <alignment vertical="center"/>
      <protection locked="0"/>
    </xf>
    <xf numFmtId="3" fontId="11" fillId="0" borderId="57" xfId="4" applyNumberFormat="1" applyFont="1" applyFill="1" applyBorder="1">
      <alignment vertical="center"/>
      <protection locked="0"/>
    </xf>
    <xf numFmtId="3" fontId="11" fillId="0" borderId="53" xfId="4" applyNumberFormat="1" applyFont="1" applyFill="1" applyBorder="1">
      <alignment vertical="center"/>
      <protection locked="0"/>
    </xf>
    <xf numFmtId="0" fontId="15" fillId="0" borderId="58" xfId="15" applyFont="1" applyFill="1" applyBorder="1">
      <alignment horizontal="center" vertical="center"/>
    </xf>
    <xf numFmtId="0" fontId="15" fillId="0" borderId="59" xfId="15" applyFont="1" applyFill="1" applyBorder="1">
      <alignment horizontal="center" vertical="center"/>
    </xf>
    <xf numFmtId="3" fontId="16" fillId="0" borderId="60" xfId="2" applyNumberFormat="1" applyFont="1" applyFill="1" applyBorder="1">
      <alignment vertical="center"/>
    </xf>
    <xf numFmtId="3" fontId="16" fillId="0" borderId="61" xfId="2" applyNumberFormat="1" applyFont="1" applyFill="1" applyBorder="1">
      <alignment vertical="center"/>
    </xf>
    <xf numFmtId="0" fontId="9" fillId="0" borderId="63" xfId="15" applyFont="1" applyFill="1" applyBorder="1">
      <alignment horizontal="center" vertical="center"/>
    </xf>
    <xf numFmtId="0" fontId="9" fillId="0" borderId="64" xfId="15" applyFont="1" applyFill="1" applyBorder="1">
      <alignment horizontal="center" vertical="center"/>
    </xf>
    <xf numFmtId="3" fontId="16" fillId="0" borderId="65" xfId="2" applyNumberFormat="1" applyFont="1" applyFill="1" applyBorder="1">
      <alignment vertical="center"/>
    </xf>
    <xf numFmtId="3" fontId="16" fillId="0" borderId="55" xfId="4" applyNumberFormat="1" applyFont="1" applyFill="1" applyBorder="1">
      <alignment vertical="center"/>
      <protection locked="0"/>
    </xf>
    <xf numFmtId="3" fontId="16" fillId="0" borderId="67" xfId="2" applyNumberFormat="1" applyFont="1" applyFill="1" applyBorder="1">
      <alignment vertical="center"/>
    </xf>
    <xf numFmtId="0" fontId="9" fillId="0" borderId="68" xfId="15" applyFont="1" applyFill="1" applyBorder="1">
      <alignment horizontal="center" vertical="center"/>
    </xf>
    <xf numFmtId="3" fontId="11" fillId="0" borderId="69" xfId="4" applyNumberFormat="1" applyFont="1" applyFill="1" applyBorder="1">
      <alignment vertical="center"/>
      <protection locked="0"/>
    </xf>
    <xf numFmtId="3" fontId="10" fillId="0" borderId="70" xfId="4" applyNumberFormat="1" applyFill="1" applyBorder="1">
      <alignment vertical="center"/>
      <protection locked="0"/>
    </xf>
    <xf numFmtId="3" fontId="11" fillId="0" borderId="71" xfId="4" applyNumberFormat="1" applyFont="1" applyFill="1" applyBorder="1">
      <alignment vertical="center"/>
      <protection locked="0"/>
    </xf>
    <xf numFmtId="3" fontId="10" fillId="0" borderId="72" xfId="4" applyNumberFormat="1" applyFill="1" applyBorder="1">
      <alignment vertical="center"/>
      <protection locked="0"/>
    </xf>
    <xf numFmtId="0" fontId="15" fillId="0" borderId="30" xfId="13" applyFont="1" applyFill="1" applyBorder="1" applyAlignment="1">
      <alignment horizontal="center" vertical="center" textRotation="90" wrapText="1"/>
    </xf>
    <xf numFmtId="3" fontId="11" fillId="0" borderId="42" xfId="4" applyNumberFormat="1" applyFont="1" applyFill="1" applyBorder="1">
      <alignment vertical="center"/>
      <protection locked="0"/>
    </xf>
    <xf numFmtId="3" fontId="33" fillId="0" borderId="75" xfId="2" applyNumberFormat="1" applyFont="1" applyFill="1" applyBorder="1" applyAlignment="1">
      <alignment vertical="center"/>
    </xf>
    <xf numFmtId="3" fontId="33" fillId="0" borderId="0" xfId="2" applyNumberFormat="1" applyFont="1" applyFill="1" applyBorder="1" applyAlignment="1">
      <alignment vertical="center"/>
    </xf>
    <xf numFmtId="3" fontId="16" fillId="0" borderId="2" xfId="2" applyNumberFormat="1" applyFont="1" applyFill="1" applyBorder="1">
      <alignment vertical="center"/>
    </xf>
    <xf numFmtId="3" fontId="33" fillId="0" borderId="76" xfId="2" applyNumberFormat="1" applyFont="1" applyFill="1" applyBorder="1">
      <alignment vertical="center"/>
    </xf>
    <xf numFmtId="3" fontId="33" fillId="0" borderId="26" xfId="2" applyNumberFormat="1" applyFont="1" applyFill="1" applyBorder="1">
      <alignment vertical="center"/>
    </xf>
    <xf numFmtId="3" fontId="33" fillId="0" borderId="47" xfId="2" applyNumberFormat="1" applyFont="1" applyFill="1" applyBorder="1">
      <alignment vertical="center"/>
    </xf>
    <xf numFmtId="3" fontId="10" fillId="0" borderId="19" xfId="4" applyNumberFormat="1" applyFill="1" applyBorder="1">
      <alignment vertical="center"/>
      <protection locked="0"/>
    </xf>
    <xf numFmtId="3" fontId="11" fillId="0" borderId="19" xfId="2" applyNumberFormat="1" applyFill="1" applyBorder="1">
      <alignment vertical="center"/>
    </xf>
    <xf numFmtId="3" fontId="10" fillId="0" borderId="4" xfId="4" applyNumberFormat="1" applyFill="1" applyBorder="1">
      <alignment vertical="center"/>
      <protection locked="0"/>
    </xf>
    <xf numFmtId="3" fontId="11" fillId="0" borderId="77" xfId="2" applyNumberFormat="1" applyFont="1" applyFill="1" applyBorder="1">
      <alignment vertical="center"/>
    </xf>
    <xf numFmtId="3" fontId="10" fillId="0" borderId="31" xfId="4" applyNumberFormat="1" applyFill="1" applyBorder="1">
      <alignment vertical="center"/>
      <protection locked="0"/>
    </xf>
    <xf numFmtId="3" fontId="16" fillId="0" borderId="79" xfId="2" applyNumberFormat="1" applyFont="1" applyFill="1" applyBorder="1">
      <alignment vertical="center"/>
    </xf>
    <xf numFmtId="0" fontId="21" fillId="0" borderId="82" xfId="10" applyFont="1" applyFill="1" applyBorder="1">
      <alignment horizontal="left" vertical="center"/>
    </xf>
    <xf numFmtId="0" fontId="21" fillId="0" borderId="8" xfId="13" applyFont="1" applyFill="1" applyBorder="1">
      <alignment horizontal="center" vertical="center" textRotation="90" wrapText="1"/>
    </xf>
    <xf numFmtId="0" fontId="21" fillId="0" borderId="83" xfId="13" applyFont="1" applyFill="1" applyBorder="1">
      <alignment horizontal="center" vertical="center" textRotation="90" wrapText="1"/>
    </xf>
    <xf numFmtId="3" fontId="40" fillId="0" borderId="14" xfId="2" applyNumberFormat="1" applyFont="1" applyFill="1" applyBorder="1">
      <alignment vertical="center"/>
    </xf>
    <xf numFmtId="3" fontId="40" fillId="0" borderId="2" xfId="4" applyNumberFormat="1" applyFont="1" applyFill="1" applyBorder="1">
      <alignment vertical="center"/>
      <protection locked="0"/>
    </xf>
    <xf numFmtId="3" fontId="40" fillId="0" borderId="0" xfId="0" applyNumberFormat="1" applyFont="1" applyFill="1"/>
    <xf numFmtId="3" fontId="40" fillId="0" borderId="49" xfId="0" applyNumberFormat="1" applyFont="1" applyFill="1" applyBorder="1"/>
    <xf numFmtId="3" fontId="40" fillId="0" borderId="86" xfId="0" applyNumberFormat="1" applyFont="1" applyFill="1" applyBorder="1"/>
    <xf numFmtId="0" fontId="9" fillId="0" borderId="10" xfId="13" applyFill="1" applyBorder="1">
      <alignment horizontal="center" vertical="center" textRotation="90" wrapText="1"/>
    </xf>
    <xf numFmtId="3" fontId="11" fillId="0" borderId="40" xfId="4" applyNumberFormat="1" applyFont="1" applyFill="1" applyBorder="1">
      <alignment vertical="center"/>
      <protection locked="0"/>
    </xf>
    <xf numFmtId="0" fontId="42" fillId="0" borderId="0" xfId="0" applyFont="1"/>
    <xf numFmtId="0" fontId="42" fillId="0" borderId="0" xfId="0" applyFont="1" applyFill="1"/>
    <xf numFmtId="3" fontId="16" fillId="0" borderId="89" xfId="2" applyNumberFormat="1" applyFont="1" applyFill="1" applyBorder="1">
      <alignment vertical="center"/>
    </xf>
    <xf numFmtId="3" fontId="16" fillId="0" borderId="42" xfId="4" applyNumberFormat="1" applyFont="1" applyFill="1" applyBorder="1">
      <alignment vertical="center"/>
      <protection locked="0"/>
    </xf>
    <xf numFmtId="3" fontId="16" fillId="0" borderId="50" xfId="2" applyNumberFormat="1" applyFont="1" applyFill="1" applyBorder="1">
      <alignment vertical="center"/>
    </xf>
    <xf numFmtId="0" fontId="9" fillId="0" borderId="46" xfId="15" applyFont="1" applyFill="1" applyBorder="1">
      <alignment horizontal="center" vertical="center"/>
    </xf>
    <xf numFmtId="3" fontId="13" fillId="0" borderId="5" xfId="4" applyNumberFormat="1" applyFont="1" applyFill="1" applyBorder="1">
      <alignment vertical="center"/>
      <protection locked="0"/>
    </xf>
    <xf numFmtId="3" fontId="16" fillId="0" borderId="53" xfId="4" applyNumberFormat="1" applyFont="1" applyFill="1" applyBorder="1">
      <alignment vertical="center"/>
      <protection locked="0"/>
    </xf>
    <xf numFmtId="3" fontId="33" fillId="0" borderId="92" xfId="4" applyNumberFormat="1" applyFont="1" applyFill="1" applyBorder="1">
      <alignment vertical="center"/>
      <protection locked="0"/>
    </xf>
    <xf numFmtId="3" fontId="13" fillId="0" borderId="78" xfId="4" applyNumberFormat="1" applyFont="1" applyFill="1" applyBorder="1">
      <alignment vertical="center"/>
      <protection locked="0"/>
    </xf>
    <xf numFmtId="0" fontId="43" fillId="0" borderId="0" xfId="0" applyFont="1"/>
    <xf numFmtId="3" fontId="10" fillId="0" borderId="55" xfId="4" applyNumberFormat="1" applyFill="1" applyBorder="1">
      <alignment vertical="center"/>
      <protection locked="0"/>
    </xf>
    <xf numFmtId="3" fontId="13" fillId="0" borderId="94" xfId="4" applyNumberFormat="1" applyFont="1" applyFill="1" applyBorder="1">
      <alignment vertical="center"/>
      <protection locked="0"/>
    </xf>
    <xf numFmtId="3" fontId="11" fillId="0" borderId="89" xfId="2" applyNumberFormat="1" applyFill="1" applyBorder="1">
      <alignment vertical="center"/>
    </xf>
    <xf numFmtId="0" fontId="9" fillId="0" borderId="95" xfId="15" applyFill="1" applyBorder="1">
      <alignment horizontal="center" vertical="center"/>
    </xf>
    <xf numFmtId="1" fontId="4" fillId="0" borderId="0" xfId="0" applyNumberFormat="1" applyFont="1" applyFill="1"/>
    <xf numFmtId="3" fontId="10" fillId="0" borderId="73" xfId="4" applyNumberFormat="1" applyFill="1" applyBorder="1">
      <alignment vertical="center"/>
      <protection locked="0"/>
    </xf>
    <xf numFmtId="3" fontId="10" fillId="0" borderId="96" xfId="4" applyNumberFormat="1" applyFill="1" applyBorder="1">
      <alignment vertical="center"/>
      <protection locked="0"/>
    </xf>
    <xf numFmtId="3" fontId="18" fillId="0" borderId="54" xfId="4" applyNumberFormat="1" applyFont="1" applyFill="1" applyBorder="1">
      <alignment vertical="center"/>
      <protection locked="0"/>
    </xf>
    <xf numFmtId="0" fontId="11" fillId="0" borderId="102" xfId="15" applyFont="1" applyFill="1" applyBorder="1" applyAlignment="1">
      <alignment horizontal="left" vertical="center"/>
    </xf>
    <xf numFmtId="3" fontId="16" fillId="0" borderId="103" xfId="2" applyNumberFormat="1" applyFont="1" applyFill="1" applyBorder="1">
      <alignment vertical="center"/>
    </xf>
    <xf numFmtId="3" fontId="16" fillId="0" borderId="4" xfId="2" applyNumberFormat="1" applyFont="1" applyFill="1" applyBorder="1">
      <alignment vertical="center"/>
    </xf>
    <xf numFmtId="0" fontId="9" fillId="0" borderId="43" xfId="15" applyFill="1" applyBorder="1" applyAlignment="1">
      <alignment horizontal="centerContinuous" vertical="center"/>
    </xf>
    <xf numFmtId="0" fontId="4" fillId="0" borderId="0" xfId="0" applyFont="1" applyBorder="1"/>
    <xf numFmtId="0" fontId="9" fillId="0" borderId="96" xfId="15" applyFill="1" applyBorder="1">
      <alignment horizontal="center" vertical="center"/>
    </xf>
    <xf numFmtId="0" fontId="9" fillId="0" borderId="105" xfId="13" applyFill="1" applyBorder="1">
      <alignment horizontal="center" vertical="center" textRotation="90" wrapText="1"/>
    </xf>
    <xf numFmtId="3" fontId="10" fillId="0" borderId="16" xfId="4" applyNumberFormat="1" applyFill="1" applyBorder="1">
      <alignment vertical="center"/>
      <protection locked="0"/>
    </xf>
    <xf numFmtId="0" fontId="9" fillId="0" borderId="30" xfId="13" applyFill="1" applyBorder="1">
      <alignment horizontal="center" vertical="center" textRotation="90" wrapText="1"/>
    </xf>
    <xf numFmtId="3" fontId="11" fillId="0" borderId="108" xfId="4" applyNumberFormat="1" applyFont="1" applyFill="1" applyBorder="1">
      <alignment vertical="center"/>
      <protection locked="0"/>
    </xf>
    <xf numFmtId="3" fontId="11" fillId="0" borderId="35" xfId="4" applyNumberFormat="1" applyFont="1" applyFill="1" applyBorder="1">
      <alignment vertical="center"/>
      <protection locked="0"/>
    </xf>
    <xf numFmtId="3" fontId="11" fillId="0" borderId="109" xfId="4" applyNumberFormat="1" applyFont="1" applyFill="1" applyBorder="1">
      <alignment vertical="center"/>
      <protection locked="0"/>
    </xf>
    <xf numFmtId="3" fontId="16" fillId="0" borderId="35" xfId="4" applyNumberFormat="1" applyFont="1" applyFill="1" applyBorder="1">
      <alignment vertical="center"/>
      <protection locked="0"/>
    </xf>
    <xf numFmtId="3" fontId="11" fillId="0" borderId="62" xfId="4" applyNumberFormat="1" applyFont="1" applyFill="1" applyBorder="1">
      <alignment vertical="center"/>
      <protection locked="0"/>
    </xf>
    <xf numFmtId="3" fontId="10" fillId="0" borderId="41" xfId="4" applyNumberFormat="1" applyFill="1" applyBorder="1">
      <alignment vertical="center"/>
      <protection locked="0"/>
    </xf>
    <xf numFmtId="3" fontId="11" fillId="0" borderId="41" xfId="4" applyNumberFormat="1" applyFont="1" applyFill="1" applyBorder="1">
      <alignment vertical="center"/>
      <protection locked="0"/>
    </xf>
    <xf numFmtId="3" fontId="33" fillId="0" borderId="62" xfId="4" applyNumberFormat="1" applyFont="1" applyFill="1" applyBorder="1">
      <alignment vertical="center"/>
      <protection locked="0"/>
    </xf>
    <xf numFmtId="3" fontId="33" fillId="0" borderId="31" xfId="4" applyNumberFormat="1" applyFont="1" applyFill="1" applyBorder="1">
      <alignment vertical="center"/>
      <protection locked="0"/>
    </xf>
    <xf numFmtId="3" fontId="11" fillId="0" borderId="53" xfId="2" applyNumberFormat="1" applyFont="1" applyFill="1" applyBorder="1">
      <alignment vertical="center"/>
    </xf>
    <xf numFmtId="0" fontId="15" fillId="0" borderId="105" xfId="15" applyFont="1" applyFill="1" applyBorder="1">
      <alignment horizontal="center" vertical="center"/>
    </xf>
    <xf numFmtId="3" fontId="16" fillId="0" borderId="66" xfId="4" applyNumberFormat="1" applyFont="1" applyFill="1" applyBorder="1">
      <alignment vertical="center"/>
      <protection locked="0"/>
    </xf>
    <xf numFmtId="10" fontId="32" fillId="0" borderId="113" xfId="0" applyNumberFormat="1" applyFont="1" applyFill="1" applyBorder="1" applyAlignment="1">
      <alignment horizontal="right" vertical="center"/>
    </xf>
    <xf numFmtId="10" fontId="14" fillId="0" borderId="114" xfId="0" applyNumberFormat="1" applyFont="1" applyFill="1" applyBorder="1" applyAlignment="1">
      <alignment horizontal="right" vertical="center"/>
    </xf>
    <xf numFmtId="10" fontId="14" fillId="0" borderId="115" xfId="0" applyNumberFormat="1" applyFont="1" applyFill="1" applyBorder="1" applyAlignment="1">
      <alignment horizontal="right" vertical="center"/>
    </xf>
    <xf numFmtId="10" fontId="32" fillId="0" borderId="116" xfId="0" applyNumberFormat="1" applyFont="1" applyFill="1" applyBorder="1" applyAlignment="1">
      <alignment horizontal="right" vertical="center"/>
    </xf>
    <xf numFmtId="0" fontId="15" fillId="0" borderId="39" xfId="15" applyFont="1" applyFill="1" applyBorder="1">
      <alignment horizontal="center" vertical="center"/>
    </xf>
    <xf numFmtId="3" fontId="11" fillId="0" borderId="117" xfId="4" applyNumberFormat="1" applyFont="1" applyFill="1" applyBorder="1">
      <alignment vertical="center"/>
      <protection locked="0"/>
    </xf>
    <xf numFmtId="3" fontId="33" fillId="0" borderId="40" xfId="4" applyNumberFormat="1" applyFont="1" applyFill="1" applyBorder="1">
      <alignment vertical="center"/>
      <protection locked="0"/>
    </xf>
    <xf numFmtId="3" fontId="11" fillId="0" borderId="118" xfId="4" applyNumberFormat="1" applyFont="1" applyFill="1" applyBorder="1">
      <alignment vertical="center"/>
      <protection locked="0"/>
    </xf>
    <xf numFmtId="10" fontId="14" fillId="0" borderId="115" xfId="0" applyNumberFormat="1" applyFont="1" applyFill="1" applyBorder="1" applyAlignment="1">
      <alignment vertical="center"/>
    </xf>
    <xf numFmtId="0" fontId="0" fillId="0" borderId="114" xfId="0" applyFill="1" applyBorder="1"/>
    <xf numFmtId="10" fontId="14" fillId="0" borderId="116" xfId="0" applyNumberFormat="1" applyFont="1" applyFill="1" applyBorder="1" applyAlignment="1">
      <alignment vertical="center"/>
    </xf>
    <xf numFmtId="10" fontId="32" fillId="0" borderId="115" xfId="0" applyNumberFormat="1" applyFont="1" applyFill="1" applyBorder="1" applyAlignment="1">
      <alignment vertical="center"/>
    </xf>
    <xf numFmtId="10" fontId="32" fillId="0" borderId="119" xfId="0" applyNumberFormat="1" applyFont="1" applyFill="1" applyBorder="1" applyAlignment="1">
      <alignment vertical="center"/>
    </xf>
    <xf numFmtId="0" fontId="15" fillId="0" borderId="120" xfId="15" applyFont="1" applyFill="1" applyBorder="1">
      <alignment horizontal="center" vertical="center"/>
    </xf>
    <xf numFmtId="3" fontId="11" fillId="0" borderId="112" xfId="4" applyNumberFormat="1" applyFont="1" applyFill="1" applyBorder="1">
      <alignment vertical="center"/>
      <protection locked="0"/>
    </xf>
    <xf numFmtId="3" fontId="16" fillId="0" borderId="112" xfId="4" applyNumberFormat="1" applyFont="1" applyFill="1" applyBorder="1">
      <alignment vertical="center"/>
      <protection locked="0"/>
    </xf>
    <xf numFmtId="3" fontId="33" fillId="0" borderId="25" xfId="4" applyNumberFormat="1" applyFont="1" applyFill="1" applyBorder="1">
      <alignment vertical="center"/>
      <protection locked="0"/>
    </xf>
    <xf numFmtId="3" fontId="16" fillId="0" borderId="121" xfId="2" applyNumberFormat="1" applyFont="1" applyFill="1" applyBorder="1">
      <alignment vertical="center"/>
    </xf>
    <xf numFmtId="0" fontId="15" fillId="0" borderId="63" xfId="15" applyFont="1" applyFill="1" applyBorder="1">
      <alignment horizontal="center" vertical="center"/>
    </xf>
    <xf numFmtId="3" fontId="16" fillId="0" borderId="16" xfId="4" applyNumberFormat="1" applyFont="1" applyFill="1" applyBorder="1">
      <alignment vertical="center"/>
      <protection locked="0"/>
    </xf>
    <xf numFmtId="3" fontId="16" fillId="0" borderId="4" xfId="4" applyNumberFormat="1" applyFont="1" applyFill="1" applyBorder="1">
      <alignment vertical="center"/>
      <protection locked="0"/>
    </xf>
    <xf numFmtId="3" fontId="16" fillId="0" borderId="122" xfId="2" applyNumberFormat="1" applyFont="1" applyFill="1" applyBorder="1">
      <alignment vertical="center"/>
    </xf>
    <xf numFmtId="10" fontId="14" fillId="0" borderId="123" xfId="0" applyNumberFormat="1" applyFont="1" applyFill="1" applyBorder="1" applyAlignment="1">
      <alignment vertical="center"/>
    </xf>
    <xf numFmtId="10" fontId="32" fillId="0" borderId="113" xfId="0" applyNumberFormat="1" applyFont="1" applyFill="1" applyBorder="1" applyAlignment="1">
      <alignment vertical="center"/>
    </xf>
    <xf numFmtId="3" fontId="20" fillId="0" borderId="2" xfId="2" applyNumberFormat="1" applyFont="1" applyFill="1" applyBorder="1">
      <alignment vertical="center"/>
    </xf>
    <xf numFmtId="3" fontId="32" fillId="0" borderId="125" xfId="0" applyNumberFormat="1" applyFont="1" applyFill="1" applyBorder="1" applyAlignment="1">
      <alignment vertical="center"/>
    </xf>
    <xf numFmtId="3" fontId="20" fillId="0" borderId="26" xfId="4" applyNumberFormat="1" applyFont="1" applyFill="1" applyBorder="1">
      <alignment vertical="center"/>
      <protection locked="0"/>
    </xf>
    <xf numFmtId="3" fontId="11" fillId="0" borderId="26" xfId="4" applyNumberFormat="1" applyFont="1" applyFill="1" applyBorder="1">
      <alignment vertical="center"/>
      <protection locked="0"/>
    </xf>
    <xf numFmtId="10" fontId="14" fillId="0" borderId="114" xfId="0" applyNumberFormat="1" applyFont="1" applyFill="1" applyBorder="1" applyAlignment="1">
      <alignment vertical="center"/>
    </xf>
    <xf numFmtId="10" fontId="32" fillId="0" borderId="127" xfId="0" applyNumberFormat="1" applyFont="1" applyFill="1" applyBorder="1" applyAlignment="1">
      <alignment vertical="center"/>
    </xf>
    <xf numFmtId="10" fontId="32" fillId="0" borderId="126" xfId="0" applyNumberFormat="1" applyFont="1" applyFill="1" applyBorder="1" applyAlignment="1">
      <alignment vertical="center"/>
    </xf>
    <xf numFmtId="3" fontId="33" fillId="0" borderId="128" xfId="4" applyNumberFormat="1" applyFont="1" applyFill="1" applyBorder="1">
      <alignment vertical="center"/>
      <protection locked="0"/>
    </xf>
    <xf numFmtId="3" fontId="38" fillId="0" borderId="129" xfId="4" applyNumberFormat="1" applyFont="1" applyFill="1" applyBorder="1">
      <alignment vertical="center"/>
      <protection locked="0"/>
    </xf>
    <xf numFmtId="0" fontId="9" fillId="4" borderId="12" xfId="15" applyFont="1" applyFill="1" applyBorder="1" applyAlignment="1">
      <alignment horizontal="centerContinuous" vertical="center"/>
    </xf>
    <xf numFmtId="0" fontId="9" fillId="4" borderId="12" xfId="15" applyFill="1" applyBorder="1" applyAlignment="1">
      <alignment horizontal="centerContinuous" vertical="center"/>
    </xf>
    <xf numFmtId="0" fontId="15" fillId="4" borderId="43" xfId="15" applyFont="1" applyFill="1" applyBorder="1" applyAlignment="1">
      <alignment horizontal="centerContinuous" vertical="center"/>
    </xf>
    <xf numFmtId="0" fontId="9" fillId="4" borderId="5" xfId="15" applyFont="1" applyFill="1" applyBorder="1">
      <alignment horizontal="center" vertical="center"/>
    </xf>
    <xf numFmtId="0" fontId="15" fillId="4" borderId="5" xfId="15" applyFont="1" applyFill="1" applyBorder="1">
      <alignment horizontal="center" vertical="center"/>
    </xf>
    <xf numFmtId="3" fontId="11" fillId="4" borderId="89" xfId="2" applyNumberFormat="1" applyFill="1" applyBorder="1">
      <alignment vertical="center"/>
    </xf>
    <xf numFmtId="3" fontId="11" fillId="4" borderId="130" xfId="2" applyNumberFormat="1" applyFill="1" applyBorder="1">
      <alignment vertical="center"/>
    </xf>
    <xf numFmtId="3" fontId="11" fillId="4" borderId="77" xfId="2" applyNumberFormat="1" applyFont="1" applyFill="1" applyBorder="1">
      <alignment vertical="center"/>
    </xf>
    <xf numFmtId="0" fontId="0" fillId="4" borderId="0" xfId="0" applyFill="1"/>
    <xf numFmtId="0" fontId="46" fillId="0" borderId="0" xfId="0" applyFont="1" applyFill="1"/>
    <xf numFmtId="0" fontId="11" fillId="0" borderId="97" xfId="9" applyFont="1" applyFill="1" applyBorder="1">
      <alignment vertical="center"/>
    </xf>
    <xf numFmtId="0" fontId="15" fillId="0" borderId="52" xfId="15" applyFont="1" applyFill="1" applyBorder="1">
      <alignment horizontal="center" vertical="center"/>
    </xf>
    <xf numFmtId="0" fontId="47" fillId="0" borderId="14" xfId="15" applyFont="1" applyFill="1" applyBorder="1" applyAlignment="1">
      <alignment horizontal="center" vertical="center"/>
    </xf>
    <xf numFmtId="0" fontId="47" fillId="0" borderId="16" xfId="15" applyFont="1" applyFill="1" applyBorder="1">
      <alignment horizontal="center" vertical="center"/>
    </xf>
    <xf numFmtId="0" fontId="16" fillId="0" borderId="133" xfId="14" applyFont="1" applyFill="1" applyBorder="1">
      <alignment horizontal="center" vertical="center"/>
    </xf>
    <xf numFmtId="0" fontId="47" fillId="0" borderId="135" xfId="10" applyFont="1" applyFill="1" applyBorder="1" applyAlignment="1">
      <alignment horizontal="center" vertical="center"/>
    </xf>
    <xf numFmtId="0" fontId="16" fillId="0" borderId="136" xfId="5" applyFont="1" applyFill="1" applyBorder="1" applyAlignment="1">
      <alignment horizontal="center" vertical="center"/>
    </xf>
    <xf numFmtId="0" fontId="15" fillId="0" borderId="134" xfId="15" applyFont="1" applyFill="1" applyBorder="1" applyAlignment="1">
      <alignment horizontal="left" vertical="center"/>
    </xf>
    <xf numFmtId="0" fontId="16" fillId="0" borderId="137" xfId="14" applyFont="1" applyFill="1" applyBorder="1">
      <alignment horizontal="center" vertical="center"/>
    </xf>
    <xf numFmtId="0" fontId="11" fillId="0" borderId="52" xfId="9" applyFont="1" applyFill="1" applyBorder="1">
      <alignment vertical="center"/>
    </xf>
    <xf numFmtId="0" fontId="11" fillId="0" borderId="14" xfId="9" applyFont="1" applyFill="1" applyBorder="1" applyAlignment="1">
      <alignment horizontal="center" vertical="center"/>
    </xf>
    <xf numFmtId="3" fontId="11" fillId="0" borderId="138" xfId="2" applyNumberFormat="1" applyFont="1" applyFill="1" applyBorder="1">
      <alignment vertical="center"/>
    </xf>
    <xf numFmtId="0" fontId="16" fillId="0" borderId="16" xfId="14" applyFont="1" applyFill="1" applyBorder="1">
      <alignment horizontal="center" vertical="center"/>
    </xf>
    <xf numFmtId="3" fontId="11" fillId="0" borderId="27" xfId="2" applyNumberFormat="1" applyFont="1" applyFill="1" applyBorder="1">
      <alignment vertical="center"/>
    </xf>
    <xf numFmtId="16" fontId="11" fillId="0" borderId="14" xfId="9" applyNumberFormat="1" applyFont="1" applyFill="1" applyBorder="1" applyAlignment="1">
      <alignment horizontal="center" vertical="center"/>
    </xf>
    <xf numFmtId="3" fontId="11" fillId="0" borderId="27" xfId="4" applyNumberFormat="1" applyFont="1" applyFill="1" applyBorder="1">
      <alignment vertical="center"/>
      <protection locked="0"/>
    </xf>
    <xf numFmtId="3" fontId="11" fillId="0" borderId="139" xfId="4" applyNumberFormat="1" applyFont="1" applyFill="1" applyBorder="1">
      <alignment vertical="center"/>
      <protection locked="0"/>
    </xf>
    <xf numFmtId="16" fontId="11" fillId="0" borderId="14" xfId="9" applyNumberFormat="1" applyFont="1" applyFill="1" applyBorder="1" applyAlignment="1">
      <alignment horizontal="center" vertical="center" wrapText="1"/>
    </xf>
    <xf numFmtId="0" fontId="16" fillId="0" borderId="140" xfId="14" applyFont="1" applyFill="1" applyBorder="1">
      <alignment horizontal="center" vertical="center"/>
    </xf>
    <xf numFmtId="0" fontId="11" fillId="0" borderId="141" xfId="9" applyFont="1" applyFill="1" applyBorder="1">
      <alignment vertical="center"/>
    </xf>
    <xf numFmtId="0" fontId="11" fillId="0" borderId="129" xfId="9" applyFont="1" applyFill="1" applyBorder="1" applyAlignment="1">
      <alignment horizontal="center" vertical="center"/>
    </xf>
    <xf numFmtId="0" fontId="22" fillId="0" borderId="142" xfId="0" applyFont="1" applyFill="1" applyBorder="1" applyAlignment="1">
      <alignment horizontal="center" vertical="center"/>
    </xf>
    <xf numFmtId="0" fontId="15" fillId="0" borderId="102" xfId="15" applyFont="1" applyFill="1" applyBorder="1" applyAlignment="1">
      <alignment horizontal="center" vertical="center"/>
    </xf>
    <xf numFmtId="0" fontId="11" fillId="0" borderId="143" xfId="9" applyFont="1" applyFill="1" applyBorder="1" applyAlignment="1">
      <alignment horizontal="center" vertical="center"/>
    </xf>
    <xf numFmtId="0" fontId="15" fillId="0" borderId="134" xfId="15" applyFont="1" applyFill="1" applyBorder="1">
      <alignment horizontal="center" vertical="center"/>
    </xf>
    <xf numFmtId="0" fontId="16" fillId="0" borderId="144" xfId="14" applyFont="1" applyFill="1" applyBorder="1">
      <alignment horizontal="center" vertical="center"/>
    </xf>
    <xf numFmtId="0" fontId="15" fillId="0" borderId="37" xfId="10" applyFont="1" applyFill="1" applyBorder="1">
      <alignment horizontal="left" vertical="center"/>
    </xf>
    <xf numFmtId="0" fontId="11" fillId="0" borderId="145" xfId="9" applyFont="1" applyFill="1" applyBorder="1" applyAlignment="1">
      <alignment horizontal="center" vertical="center"/>
    </xf>
    <xf numFmtId="0" fontId="16" fillId="0" borderId="146" xfId="14" applyFont="1" applyFill="1" applyBorder="1">
      <alignment horizontal="center" vertical="center"/>
    </xf>
    <xf numFmtId="0" fontId="15" fillId="0" borderId="147" xfId="15" applyFont="1" applyFill="1" applyBorder="1" applyAlignment="1">
      <alignment horizontal="left" vertical="center"/>
    </xf>
    <xf numFmtId="0" fontId="15" fillId="0" borderId="145" xfId="15" applyFont="1" applyFill="1" applyBorder="1" applyAlignment="1">
      <alignment horizontal="center" vertical="center"/>
    </xf>
    <xf numFmtId="0" fontId="16" fillId="0" borderId="99" xfId="14" applyFont="1" applyFill="1" applyBorder="1">
      <alignment horizontal="center" vertical="center"/>
    </xf>
    <xf numFmtId="0" fontId="11" fillId="0" borderId="102" xfId="9" applyFont="1" applyFill="1" applyBorder="1">
      <alignment vertical="center"/>
    </xf>
    <xf numFmtId="3" fontId="11" fillId="0" borderId="20" xfId="2" applyNumberFormat="1" applyFont="1" applyFill="1" applyBorder="1">
      <alignment vertical="center"/>
    </xf>
    <xf numFmtId="0" fontId="11" fillId="0" borderId="2" xfId="15" applyFont="1" applyFill="1" applyBorder="1" applyAlignment="1">
      <alignment horizontal="left" vertical="center"/>
    </xf>
    <xf numFmtId="16" fontId="11" fillId="0" borderId="148" xfId="15" applyNumberFormat="1" applyFont="1" applyFill="1" applyBorder="1" applyAlignment="1">
      <alignment horizontal="center" vertical="center"/>
    </xf>
    <xf numFmtId="0" fontId="11" fillId="0" borderId="14" xfId="9" applyFont="1" applyFill="1" applyBorder="1" applyAlignment="1">
      <alignment horizontal="center" vertical="center" wrapText="1"/>
    </xf>
    <xf numFmtId="0" fontId="15" fillId="0" borderId="149" xfId="15" applyFont="1" applyFill="1" applyBorder="1" applyAlignment="1">
      <alignment horizontal="center" vertical="center"/>
    </xf>
    <xf numFmtId="0" fontId="16" fillId="0" borderId="40" xfId="14" applyFont="1" applyFill="1" applyBorder="1">
      <alignment horizontal="center" vertical="center"/>
    </xf>
    <xf numFmtId="0" fontId="16" fillId="0" borderId="0" xfId="14" applyFont="1" applyFill="1" applyBorder="1">
      <alignment horizontal="center" vertical="center"/>
    </xf>
    <xf numFmtId="0" fontId="48" fillId="0" borderId="102" xfId="9" applyFont="1" applyFill="1" applyBorder="1" applyAlignment="1">
      <alignment horizontal="center" vertical="center"/>
    </xf>
    <xf numFmtId="0" fontId="33" fillId="0" borderId="150" xfId="9" applyFont="1" applyFill="1" applyBorder="1">
      <alignment vertical="center"/>
    </xf>
    <xf numFmtId="0" fontId="16" fillId="0" borderId="151" xfId="14" applyFont="1" applyFill="1" applyBorder="1">
      <alignment horizontal="center" vertical="center"/>
    </xf>
    <xf numFmtId="0" fontId="11" fillId="0" borderId="152" xfId="9" applyFont="1" applyFill="1" applyBorder="1">
      <alignment vertical="center"/>
    </xf>
    <xf numFmtId="0" fontId="11" fillId="0" borderId="153" xfId="9" applyFont="1" applyFill="1" applyBorder="1">
      <alignment vertical="center"/>
    </xf>
    <xf numFmtId="3" fontId="11" fillId="0" borderId="154" xfId="2" applyNumberFormat="1" applyFont="1" applyFill="1" applyBorder="1">
      <alignment vertical="center"/>
    </xf>
    <xf numFmtId="0" fontId="16" fillId="0" borderId="96" xfId="14" applyFont="1" applyFill="1" applyBorder="1">
      <alignment horizontal="center" vertical="center"/>
    </xf>
    <xf numFmtId="0" fontId="48" fillId="0" borderId="95" xfId="9" applyFont="1" applyFill="1" applyBorder="1" applyAlignment="1">
      <alignment horizontal="center" vertical="center"/>
    </xf>
    <xf numFmtId="0" fontId="11" fillId="0" borderId="155" xfId="9" applyFont="1" applyFill="1" applyBorder="1" applyAlignment="1">
      <alignment horizontal="center" vertical="center"/>
    </xf>
    <xf numFmtId="0" fontId="16" fillId="0" borderId="156" xfId="14" applyFont="1" applyFill="1" applyBorder="1">
      <alignment horizontal="center" vertical="center"/>
    </xf>
    <xf numFmtId="0" fontId="48" fillId="0" borderId="157" xfId="15" applyFont="1" applyFill="1" applyBorder="1">
      <alignment horizontal="center" vertical="center"/>
    </xf>
    <xf numFmtId="0" fontId="48" fillId="0" borderId="158" xfId="15" applyFont="1" applyFill="1" applyBorder="1">
      <alignment horizontal="center" vertical="center"/>
    </xf>
    <xf numFmtId="0" fontId="16" fillId="0" borderId="159" xfId="14" applyFont="1" applyFill="1" applyBorder="1">
      <alignment horizontal="center" vertical="center"/>
    </xf>
    <xf numFmtId="0" fontId="15" fillId="0" borderId="160" xfId="15" applyFont="1" applyFill="1" applyBorder="1">
      <alignment horizontal="center" vertical="center"/>
    </xf>
    <xf numFmtId="0" fontId="15" fillId="0" borderId="161" xfId="15" applyFont="1" applyFill="1" applyBorder="1" applyAlignment="1">
      <alignment horizontal="center" vertical="center"/>
    </xf>
    <xf numFmtId="3" fontId="33" fillId="0" borderId="41" xfId="4" applyNumberFormat="1" applyFont="1" applyFill="1" applyBorder="1">
      <alignment vertical="center"/>
      <protection locked="0"/>
    </xf>
    <xf numFmtId="3" fontId="10" fillId="0" borderId="64" xfId="4" applyNumberFormat="1" applyFill="1" applyBorder="1">
      <alignment vertical="center"/>
      <protection locked="0"/>
    </xf>
    <xf numFmtId="0" fontId="15" fillId="0" borderId="4" xfId="15" applyFont="1" applyFill="1" applyBorder="1">
      <alignment horizontal="center" vertical="center"/>
    </xf>
    <xf numFmtId="3" fontId="6" fillId="0" borderId="0" xfId="0" applyNumberFormat="1" applyFont="1"/>
    <xf numFmtId="3" fontId="13" fillId="0" borderId="165" xfId="4" applyNumberFormat="1" applyFont="1" applyFill="1" applyBorder="1">
      <alignment vertical="center"/>
      <protection locked="0"/>
    </xf>
    <xf numFmtId="0" fontId="15" fillId="0" borderId="12" xfId="15" applyFont="1" applyFill="1" applyBorder="1" applyAlignment="1">
      <alignment horizontal="centerContinuous" vertical="center"/>
    </xf>
    <xf numFmtId="3" fontId="11" fillId="0" borderId="130" xfId="2" applyNumberFormat="1" applyFont="1" applyFill="1" applyBorder="1">
      <alignment vertical="center"/>
    </xf>
    <xf numFmtId="3" fontId="46" fillId="0" borderId="0" xfId="0" applyNumberFormat="1" applyFont="1" applyFill="1"/>
    <xf numFmtId="3" fontId="0" fillId="0" borderId="0" xfId="0" applyNumberFormat="1" applyBorder="1"/>
    <xf numFmtId="0" fontId="46" fillId="0" borderId="0" xfId="7" applyFont="1" applyFill="1"/>
    <xf numFmtId="3" fontId="51" fillId="0" borderId="0" xfId="0" applyNumberFormat="1" applyFont="1"/>
    <xf numFmtId="3" fontId="49" fillId="0" borderId="62" xfId="4" applyNumberFormat="1" applyFont="1" applyFill="1" applyBorder="1">
      <alignment vertical="center"/>
      <protection locked="0"/>
    </xf>
    <xf numFmtId="3" fontId="20" fillId="0" borderId="16" xfId="4" applyNumberFormat="1" applyFont="1" applyFill="1" applyBorder="1">
      <alignment vertical="center"/>
      <protection locked="0"/>
    </xf>
    <xf numFmtId="10" fontId="14" fillId="0" borderId="124" xfId="0" applyNumberFormat="1" applyFont="1" applyFill="1" applyBorder="1" applyAlignment="1">
      <alignment vertical="center"/>
    </xf>
    <xf numFmtId="0" fontId="42" fillId="0" borderId="0" xfId="7" applyFont="1" applyFill="1"/>
    <xf numFmtId="0" fontId="52" fillId="0" borderId="0" xfId="7" applyFont="1" applyFill="1"/>
    <xf numFmtId="0" fontId="22" fillId="0" borderId="0" xfId="7" applyFont="1" applyFill="1"/>
    <xf numFmtId="0" fontId="15" fillId="0" borderId="10" xfId="13" applyFont="1" applyFill="1" applyBorder="1" applyAlignment="1">
      <alignment horizontal="center" vertical="center" textRotation="90" wrapText="1"/>
    </xf>
    <xf numFmtId="0" fontId="52" fillId="0" borderId="0" xfId="0" applyFont="1" applyFill="1"/>
    <xf numFmtId="3" fontId="11" fillId="0" borderId="170" xfId="4" applyNumberFormat="1" applyFont="1" applyFill="1" applyBorder="1">
      <alignment vertical="center"/>
      <protection locked="0"/>
    </xf>
    <xf numFmtId="3" fontId="38" fillId="0" borderId="62" xfId="4" applyNumberFormat="1" applyFont="1" applyFill="1" applyBorder="1">
      <alignment vertical="center"/>
      <protection locked="0"/>
    </xf>
    <xf numFmtId="3" fontId="38" fillId="0" borderId="31" xfId="4" applyNumberFormat="1" applyFont="1" applyFill="1" applyBorder="1">
      <alignment vertical="center"/>
      <protection locked="0"/>
    </xf>
    <xf numFmtId="3" fontId="16" fillId="0" borderId="167" xfId="4" applyNumberFormat="1" applyFont="1" applyFill="1" applyBorder="1">
      <alignment vertical="center"/>
      <protection locked="0"/>
    </xf>
    <xf numFmtId="0" fontId="4" fillId="0" borderId="123" xfId="0" applyFont="1" applyFill="1" applyBorder="1" applyAlignment="1">
      <alignment vertical="center"/>
    </xf>
    <xf numFmtId="10" fontId="14" fillId="0" borderId="123" xfId="0" applyNumberFormat="1" applyFont="1" applyFill="1" applyBorder="1" applyAlignment="1">
      <alignment horizontal="right" vertical="center"/>
    </xf>
    <xf numFmtId="3" fontId="10" fillId="0" borderId="16" xfId="4" applyNumberFormat="1" applyFont="1" applyFill="1" applyBorder="1">
      <alignment vertical="center"/>
      <protection locked="0"/>
    </xf>
    <xf numFmtId="10" fontId="14" fillId="0" borderId="173" xfId="0" applyNumberFormat="1" applyFont="1" applyBorder="1" applyAlignment="1">
      <alignment vertical="center"/>
    </xf>
    <xf numFmtId="3" fontId="10" fillId="0" borderId="174" xfId="4" applyNumberFormat="1" applyFill="1" applyBorder="1">
      <alignment vertical="center"/>
      <protection locked="0"/>
    </xf>
    <xf numFmtId="3" fontId="10" fillId="0" borderId="175" xfId="4" applyNumberFormat="1" applyFill="1" applyBorder="1">
      <alignment vertical="center"/>
      <protection locked="0"/>
    </xf>
    <xf numFmtId="3" fontId="23" fillId="0" borderId="2" xfId="4" applyNumberFormat="1" applyFont="1" applyFill="1" applyBorder="1">
      <alignment vertical="center"/>
      <protection locked="0"/>
    </xf>
    <xf numFmtId="3" fontId="13" fillId="0" borderId="176" xfId="4" applyNumberFormat="1" applyFont="1" applyFill="1" applyBorder="1">
      <alignment vertical="center"/>
      <protection locked="0"/>
    </xf>
    <xf numFmtId="3" fontId="13" fillId="0" borderId="21" xfId="4" applyNumberFormat="1" applyFont="1" applyFill="1" applyBorder="1">
      <alignment vertical="center"/>
      <protection locked="0"/>
    </xf>
    <xf numFmtId="3" fontId="16" fillId="0" borderId="14" xfId="2" applyNumberFormat="1" applyFont="1" applyFill="1" applyBorder="1">
      <alignment vertical="center"/>
    </xf>
    <xf numFmtId="3" fontId="16" fillId="0" borderId="175" xfId="2" applyNumberFormat="1" applyFont="1" applyFill="1" applyBorder="1">
      <alignment vertical="center"/>
    </xf>
    <xf numFmtId="3" fontId="16" fillId="0" borderId="21" xfId="2" applyNumberFormat="1" applyFont="1" applyFill="1" applyBorder="1">
      <alignment vertical="center"/>
    </xf>
    <xf numFmtId="0" fontId="53" fillId="0" borderId="0" xfId="0" applyFont="1" applyBorder="1"/>
    <xf numFmtId="3" fontId="13" fillId="0" borderId="56" xfId="4" applyNumberFormat="1" applyFont="1" applyFill="1" applyBorder="1">
      <alignment vertical="center"/>
      <protection locked="0"/>
    </xf>
    <xf numFmtId="3" fontId="13" fillId="0" borderId="19" xfId="4" applyNumberFormat="1" applyFont="1" applyFill="1" applyBorder="1">
      <alignment vertical="center"/>
      <protection locked="0"/>
    </xf>
    <xf numFmtId="3" fontId="16" fillId="0" borderId="19" xfId="2" applyNumberFormat="1" applyFont="1" applyFill="1" applyBorder="1">
      <alignment vertical="center"/>
    </xf>
    <xf numFmtId="3" fontId="53" fillId="0" borderId="0" xfId="0" applyNumberFormat="1" applyFont="1" applyBorder="1"/>
    <xf numFmtId="3" fontId="20" fillId="0" borderId="19" xfId="2" applyNumberFormat="1" applyFont="1" applyFill="1" applyBorder="1">
      <alignment vertical="center"/>
    </xf>
    <xf numFmtId="3" fontId="20" fillId="0" borderId="175" xfId="2" applyNumberFormat="1" applyFont="1" applyFill="1" applyBorder="1">
      <alignment vertical="center"/>
    </xf>
    <xf numFmtId="0" fontId="54" fillId="0" borderId="7" xfId="9" applyFont="1" applyFill="1" applyBorder="1" applyAlignment="1">
      <alignment horizontal="left" vertical="center" wrapText="1"/>
    </xf>
    <xf numFmtId="3" fontId="54" fillId="0" borderId="2" xfId="4" applyNumberFormat="1" applyFont="1" applyFill="1" applyBorder="1">
      <alignment vertical="center"/>
      <protection locked="0"/>
    </xf>
    <xf numFmtId="3" fontId="54" fillId="0" borderId="16" xfId="4" applyNumberFormat="1" applyFont="1" applyFill="1" applyBorder="1">
      <alignment vertical="center"/>
      <protection locked="0"/>
    </xf>
    <xf numFmtId="10" fontId="56" fillId="0" borderId="123" xfId="0" applyNumberFormat="1" applyFont="1" applyFill="1" applyBorder="1" applyAlignment="1">
      <alignment horizontal="right" vertical="center"/>
    </xf>
    <xf numFmtId="0" fontId="57" fillId="0" borderId="0" xfId="0" applyFont="1"/>
    <xf numFmtId="10" fontId="56" fillId="0" borderId="115" xfId="0" applyNumberFormat="1" applyFont="1" applyFill="1" applyBorder="1" applyAlignment="1">
      <alignment horizontal="right" vertical="center"/>
    </xf>
    <xf numFmtId="3" fontId="57" fillId="0" borderId="0" xfId="0" applyNumberFormat="1" applyFont="1"/>
    <xf numFmtId="0" fontId="14" fillId="0" borderId="0" xfId="0" applyFont="1"/>
    <xf numFmtId="3" fontId="16" fillId="0" borderId="178" xfId="2" applyNumberFormat="1" applyFont="1" applyFill="1" applyBorder="1">
      <alignment vertical="center"/>
    </xf>
    <xf numFmtId="3" fontId="38" fillId="0" borderId="54" xfId="4" applyNumberFormat="1" applyFont="1" applyFill="1" applyBorder="1">
      <alignment vertical="center"/>
      <protection locked="0"/>
    </xf>
    <xf numFmtId="3" fontId="16" fillId="0" borderId="54" xfId="4" applyNumberFormat="1" applyFont="1" applyFill="1" applyBorder="1">
      <alignment vertical="center"/>
      <protection locked="0"/>
    </xf>
    <xf numFmtId="3" fontId="16" fillId="0" borderId="179" xfId="2" applyNumberFormat="1" applyFont="1" applyFill="1" applyBorder="1">
      <alignment vertical="center"/>
    </xf>
    <xf numFmtId="3" fontId="16" fillId="0" borderId="160" xfId="2" applyNumberFormat="1" applyFont="1" applyFill="1" applyBorder="1">
      <alignment vertical="center"/>
    </xf>
    <xf numFmtId="3" fontId="11" fillId="0" borderId="181" xfId="2" applyNumberFormat="1" applyFill="1" applyBorder="1">
      <alignment vertical="center"/>
    </xf>
    <xf numFmtId="0" fontId="4" fillId="0" borderId="182" xfId="0" applyFont="1" applyFill="1" applyBorder="1" applyAlignment="1">
      <alignment horizontal="left"/>
    </xf>
    <xf numFmtId="0" fontId="15" fillId="0" borderId="183" xfId="15" applyFont="1" applyFill="1" applyBorder="1" applyAlignment="1">
      <alignment horizontal="center" vertical="center"/>
    </xf>
    <xf numFmtId="0" fontId="11" fillId="0" borderId="184" xfId="9" applyFont="1" applyFill="1" applyBorder="1">
      <alignment vertical="center"/>
    </xf>
    <xf numFmtId="0" fontId="10" fillId="0" borderId="187" xfId="9" applyFont="1" applyFill="1" applyBorder="1" applyAlignment="1">
      <alignment vertical="center" wrapText="1"/>
    </xf>
    <xf numFmtId="0" fontId="10" fillId="0" borderId="187" xfId="9" applyFont="1" applyFill="1" applyBorder="1">
      <alignment vertical="center"/>
    </xf>
    <xf numFmtId="0" fontId="10" fillId="0" borderId="184" xfId="9" applyFont="1" applyFill="1" applyBorder="1">
      <alignment vertical="center"/>
    </xf>
    <xf numFmtId="0" fontId="13" fillId="0" borderId="184" xfId="9" applyFont="1" applyFill="1" applyBorder="1">
      <alignment vertical="center"/>
    </xf>
    <xf numFmtId="0" fontId="9" fillId="0" borderId="86" xfId="15" applyFont="1" applyFill="1" applyBorder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149" xfId="9" applyFont="1" applyFill="1" applyBorder="1">
      <alignment vertical="center"/>
    </xf>
    <xf numFmtId="0" fontId="32" fillId="0" borderId="188" xfId="0" applyFont="1" applyFill="1" applyBorder="1" applyAlignment="1">
      <alignment horizontal="center" vertical="center"/>
    </xf>
    <xf numFmtId="0" fontId="32" fillId="0" borderId="192" xfId="0" applyFont="1" applyFill="1" applyBorder="1" applyAlignment="1">
      <alignment horizontal="center" vertical="center"/>
    </xf>
    <xf numFmtId="0" fontId="32" fillId="0" borderId="191" xfId="0" applyFont="1" applyFill="1" applyBorder="1" applyAlignment="1">
      <alignment horizontal="center" vertical="center"/>
    </xf>
    <xf numFmtId="0" fontId="32" fillId="0" borderId="193" xfId="0" applyFont="1" applyFill="1" applyBorder="1" applyAlignment="1">
      <alignment horizontal="center" vertical="center"/>
    </xf>
    <xf numFmtId="0" fontId="32" fillId="0" borderId="194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49" fontId="38" fillId="0" borderId="109" xfId="9" applyNumberFormat="1" applyFont="1" applyFill="1" applyBorder="1">
      <alignment vertical="center"/>
    </xf>
    <xf numFmtId="0" fontId="18" fillId="0" borderId="184" xfId="9" applyFont="1" applyFill="1" applyBorder="1">
      <alignment vertical="center"/>
    </xf>
    <xf numFmtId="0" fontId="38" fillId="0" borderId="184" xfId="9" applyFont="1" applyFill="1" applyBorder="1">
      <alignment vertical="center"/>
    </xf>
    <xf numFmtId="0" fontId="38" fillId="0" borderId="86" xfId="9" applyFont="1" applyFill="1" applyBorder="1" applyAlignment="1">
      <alignment horizontal="center" vertical="center"/>
    </xf>
    <xf numFmtId="0" fontId="32" fillId="0" borderId="194" xfId="0" applyFont="1" applyBorder="1" applyAlignment="1">
      <alignment horizontal="center" vertical="center"/>
    </xf>
    <xf numFmtId="0" fontId="32" fillId="0" borderId="196" xfId="0" applyFont="1" applyFill="1" applyBorder="1" applyAlignment="1">
      <alignment horizontal="center" vertical="center"/>
    </xf>
    <xf numFmtId="0" fontId="32" fillId="0" borderId="197" xfId="0" applyFont="1" applyBorder="1" applyAlignment="1">
      <alignment horizontal="center" vertical="center"/>
    </xf>
    <xf numFmtId="0" fontId="38" fillId="0" borderId="26" xfId="9" applyFont="1" applyFill="1" applyBorder="1">
      <alignment vertical="center"/>
    </xf>
    <xf numFmtId="0" fontId="10" fillId="0" borderId="198" xfId="9" applyFont="1" applyFill="1" applyBorder="1">
      <alignment vertical="center"/>
    </xf>
    <xf numFmtId="0" fontId="10" fillId="0" borderId="84" xfId="9" applyFont="1" applyFill="1" applyBorder="1">
      <alignment vertical="center"/>
    </xf>
    <xf numFmtId="0" fontId="18" fillId="0" borderId="185" xfId="9" applyFont="1" applyFill="1" applyBorder="1">
      <alignment vertical="center"/>
    </xf>
    <xf numFmtId="0" fontId="18" fillId="0" borderId="84" xfId="9" applyFont="1" applyFill="1" applyBorder="1">
      <alignment vertical="center"/>
    </xf>
    <xf numFmtId="0" fontId="32" fillId="0" borderId="196" xfId="0" applyFont="1" applyBorder="1" applyAlignment="1">
      <alignment horizontal="center" vertical="center"/>
    </xf>
    <xf numFmtId="0" fontId="32" fillId="0" borderId="188" xfId="7" applyFont="1" applyFill="1" applyBorder="1" applyAlignment="1">
      <alignment horizontal="center" vertical="center"/>
    </xf>
    <xf numFmtId="0" fontId="32" fillId="0" borderId="196" xfId="7" applyFont="1" applyFill="1" applyBorder="1" applyAlignment="1">
      <alignment horizontal="center" vertical="center"/>
    </xf>
    <xf numFmtId="0" fontId="32" fillId="0" borderId="197" xfId="7" applyFont="1" applyFill="1" applyBorder="1" applyAlignment="1">
      <alignment horizontal="center" vertical="center"/>
    </xf>
    <xf numFmtId="0" fontId="32" fillId="0" borderId="0" xfId="7" applyFont="1" applyFill="1" applyAlignment="1">
      <alignment horizontal="center" vertical="center"/>
    </xf>
    <xf numFmtId="0" fontId="32" fillId="0" borderId="197" xfId="0" applyFont="1" applyFill="1" applyBorder="1" applyAlignment="1">
      <alignment horizontal="center" vertical="center"/>
    </xf>
    <xf numFmtId="0" fontId="13" fillId="0" borderId="184" xfId="9" applyFont="1" applyFill="1" applyBorder="1" applyAlignment="1">
      <alignment horizontal="center" vertical="center"/>
    </xf>
    <xf numFmtId="0" fontId="10" fillId="0" borderId="184" xfId="9" applyFont="1" applyFill="1" applyBorder="1" applyAlignment="1">
      <alignment vertical="center" wrapText="1"/>
    </xf>
    <xf numFmtId="0" fontId="38" fillId="0" borderId="184" xfId="9" applyFont="1" applyFill="1" applyBorder="1" applyAlignment="1">
      <alignment horizontal="center" vertical="center"/>
    </xf>
    <xf numFmtId="0" fontId="10" fillId="0" borderId="184" xfId="9" applyFill="1" applyBorder="1">
      <alignment vertical="center"/>
    </xf>
    <xf numFmtId="0" fontId="13" fillId="0" borderId="185" xfId="9" applyFont="1" applyFill="1" applyBorder="1">
      <alignment vertical="center"/>
    </xf>
    <xf numFmtId="0" fontId="10" fillId="0" borderId="185" xfId="9" applyFont="1" applyFill="1" applyBorder="1">
      <alignment vertical="center"/>
    </xf>
    <xf numFmtId="0" fontId="13" fillId="0" borderId="186" xfId="9" applyFont="1" applyFill="1" applyBorder="1">
      <alignment vertical="center"/>
    </xf>
    <xf numFmtId="0" fontId="13" fillId="0" borderId="22" xfId="15" applyFont="1" applyFill="1" applyBorder="1" applyAlignment="1">
      <alignment horizontal="left" vertical="center"/>
    </xf>
    <xf numFmtId="0" fontId="47" fillId="0" borderId="137" xfId="15" applyFont="1" applyFill="1" applyBorder="1">
      <alignment horizontal="center" vertical="center"/>
    </xf>
    <xf numFmtId="0" fontId="13" fillId="0" borderId="7" xfId="9" applyFont="1" applyFill="1" applyBorder="1" applyAlignment="1">
      <alignment vertical="center" wrapText="1"/>
    </xf>
    <xf numFmtId="0" fontId="9" fillId="0" borderId="200" xfId="15" applyFont="1" applyFill="1" applyBorder="1">
      <alignment horizontal="center" vertical="center"/>
    </xf>
    <xf numFmtId="0" fontId="9" fillId="0" borderId="201" xfId="15" applyFill="1" applyBorder="1">
      <alignment horizontal="center" vertical="center"/>
    </xf>
    <xf numFmtId="3" fontId="10" fillId="0" borderId="202" xfId="4" applyNumberFormat="1" applyFill="1" applyBorder="1">
      <alignment vertical="center"/>
      <protection locked="0"/>
    </xf>
    <xf numFmtId="3" fontId="13" fillId="0" borderId="203" xfId="4" applyNumberFormat="1" applyFont="1" applyFill="1" applyBorder="1">
      <alignment vertical="center"/>
      <protection locked="0"/>
    </xf>
    <xf numFmtId="3" fontId="10" fillId="0" borderId="203" xfId="4" applyNumberFormat="1" applyFill="1" applyBorder="1">
      <alignment vertical="center"/>
      <protection locked="0"/>
    </xf>
    <xf numFmtId="3" fontId="10" fillId="0" borderId="204" xfId="4" applyNumberFormat="1" applyFill="1" applyBorder="1">
      <alignment vertical="center"/>
      <protection locked="0"/>
    </xf>
    <xf numFmtId="3" fontId="38" fillId="0" borderId="205" xfId="4" applyNumberFormat="1" applyFont="1" applyFill="1" applyBorder="1">
      <alignment vertical="center"/>
      <protection locked="0"/>
    </xf>
    <xf numFmtId="3" fontId="18" fillId="0" borderId="205" xfId="4" applyNumberFormat="1" applyFont="1" applyFill="1" applyBorder="1">
      <alignment vertical="center"/>
      <protection locked="0"/>
    </xf>
    <xf numFmtId="3" fontId="16" fillId="0" borderId="204" xfId="4" applyNumberFormat="1" applyFont="1" applyFill="1" applyBorder="1">
      <alignment vertical="center"/>
      <protection locked="0"/>
    </xf>
    <xf numFmtId="0" fontId="9" fillId="0" borderId="206" xfId="15" applyFont="1" applyFill="1" applyBorder="1" applyAlignment="1">
      <alignment horizontal="centerContinuous" vertical="center"/>
    </xf>
    <xf numFmtId="10" fontId="32" fillId="0" borderId="115" xfId="0" applyNumberFormat="1" applyFont="1" applyFill="1" applyBorder="1" applyAlignment="1">
      <alignment horizontal="right" vertical="center"/>
    </xf>
    <xf numFmtId="3" fontId="55" fillId="0" borderId="14" xfId="2" applyNumberFormat="1" applyFont="1" applyFill="1" applyBorder="1">
      <alignment vertical="center"/>
    </xf>
    <xf numFmtId="3" fontId="26" fillId="0" borderId="97" xfId="6" applyNumberFormat="1" applyFont="1" applyFill="1" applyBorder="1" applyAlignment="1">
      <alignment vertical="center"/>
    </xf>
    <xf numFmtId="3" fontId="26" fillId="0" borderId="45" xfId="6" applyNumberFormat="1" applyFont="1" applyFill="1" applyBorder="1" applyAlignment="1">
      <alignment vertical="center"/>
    </xf>
    <xf numFmtId="3" fontId="26" fillId="0" borderId="98" xfId="6" applyNumberFormat="1" applyFont="1" applyFill="1" applyBorder="1" applyAlignment="1">
      <alignment vertical="center"/>
    </xf>
    <xf numFmtId="3" fontId="26" fillId="0" borderId="99" xfId="6" applyNumberFormat="1" applyFont="1" applyFill="1" applyBorder="1" applyAlignment="1">
      <alignment vertical="center"/>
    </xf>
    <xf numFmtId="3" fontId="26" fillId="0" borderId="0" xfId="6" applyNumberFormat="1" applyFont="1" applyFill="1" applyBorder="1" applyAlignment="1">
      <alignment vertical="center"/>
    </xf>
    <xf numFmtId="3" fontId="26" fillId="0" borderId="100" xfId="6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horizontal="center" vertical="center" wrapText="1"/>
    </xf>
    <xf numFmtId="3" fontId="25" fillId="0" borderId="225" xfId="0" applyNumberFormat="1" applyFont="1" applyFill="1" applyBorder="1" applyAlignment="1">
      <alignment horizontal="center" vertical="center" wrapText="1"/>
    </xf>
    <xf numFmtId="3" fontId="26" fillId="0" borderId="53" xfId="0" applyNumberFormat="1" applyFont="1" applyFill="1" applyBorder="1"/>
    <xf numFmtId="3" fontId="26" fillId="0" borderId="227" xfId="0" applyNumberFormat="1" applyFont="1" applyFill="1" applyBorder="1"/>
    <xf numFmtId="0" fontId="25" fillId="0" borderId="53" xfId="0" applyFont="1" applyFill="1" applyBorder="1"/>
    <xf numFmtId="0" fontId="25" fillId="0" borderId="53" xfId="0" applyFont="1" applyFill="1" applyBorder="1" applyAlignment="1">
      <alignment horizontal="center"/>
    </xf>
    <xf numFmtId="3" fontId="25" fillId="0" borderId="53" xfId="0" applyNumberFormat="1" applyFont="1" applyFill="1" applyBorder="1" applyAlignment="1">
      <alignment horizontal="center"/>
    </xf>
    <xf numFmtId="3" fontId="25" fillId="0" borderId="53" xfId="0" applyNumberFormat="1" applyFont="1" applyFill="1" applyBorder="1"/>
    <xf numFmtId="3" fontId="25" fillId="0" borderId="227" xfId="0" applyNumberFormat="1" applyFont="1" applyFill="1" applyBorder="1"/>
    <xf numFmtId="3" fontId="59" fillId="0" borderId="227" xfId="0" applyNumberFormat="1" applyFont="1" applyFill="1" applyBorder="1"/>
    <xf numFmtId="0" fontId="26" fillId="0" borderId="53" xfId="0" applyFont="1" applyFill="1" applyBorder="1"/>
    <xf numFmtId="3" fontId="25" fillId="0" borderId="228" xfId="0" applyNumberFormat="1" applyFont="1" applyFill="1" applyBorder="1"/>
    <xf numFmtId="3" fontId="25" fillId="0" borderId="132" xfId="0" applyNumberFormat="1" applyFont="1" applyFill="1" applyBorder="1"/>
    <xf numFmtId="0" fontId="8" fillId="0" borderId="182" xfId="0" applyFont="1" applyFill="1" applyBorder="1" applyAlignment="1">
      <alignment horizontal="left"/>
    </xf>
    <xf numFmtId="0" fontId="9" fillId="0" borderId="183" xfId="15" applyFill="1" applyBorder="1">
      <alignment horizontal="center" vertical="center"/>
    </xf>
    <xf numFmtId="0" fontId="15" fillId="0" borderId="8" xfId="13" applyFont="1" applyFill="1" applyBorder="1">
      <alignment horizontal="center" vertical="center" textRotation="90" wrapText="1"/>
    </xf>
    <xf numFmtId="0" fontId="10" fillId="0" borderId="111" xfId="9" applyFont="1" applyFill="1" applyBorder="1">
      <alignment vertical="center"/>
    </xf>
    <xf numFmtId="0" fontId="10" fillId="0" borderId="111" xfId="9" applyFill="1" applyBorder="1">
      <alignment vertical="center"/>
    </xf>
    <xf numFmtId="0" fontId="10" fillId="0" borderId="111" xfId="9" applyFont="1" applyFill="1" applyBorder="1" applyAlignment="1">
      <alignment vertical="center" wrapText="1"/>
    </xf>
    <xf numFmtId="0" fontId="9" fillId="0" borderId="77" xfId="15" applyFont="1" applyFill="1" applyBorder="1">
      <alignment horizontal="center" vertical="center"/>
    </xf>
    <xf numFmtId="1" fontId="13" fillId="0" borderId="89" xfId="4" applyFont="1" applyFill="1" applyBorder="1">
      <alignment vertical="center"/>
      <protection locked="0"/>
    </xf>
    <xf numFmtId="3" fontId="13" fillId="0" borderId="89" xfId="4" applyNumberFormat="1" applyFont="1" applyFill="1" applyBorder="1">
      <alignment vertical="center"/>
      <protection locked="0"/>
    </xf>
    <xf numFmtId="3" fontId="16" fillId="0" borderId="90" xfId="2" applyNumberFormat="1" applyFont="1" applyFill="1" applyBorder="1">
      <alignment vertical="center"/>
    </xf>
    <xf numFmtId="3" fontId="16" fillId="0" borderId="89" xfId="4" applyNumberFormat="1" applyFont="1" applyFill="1" applyBorder="1">
      <alignment vertical="center"/>
      <protection locked="0"/>
    </xf>
    <xf numFmtId="0" fontId="11" fillId="0" borderId="16" xfId="9" applyFont="1" applyFill="1" applyBorder="1">
      <alignment vertical="center"/>
    </xf>
    <xf numFmtId="10" fontId="14" fillId="0" borderId="115" xfId="7" applyNumberFormat="1" applyFont="1" applyFill="1" applyBorder="1" applyAlignment="1">
      <alignment vertical="center"/>
    </xf>
    <xf numFmtId="0" fontId="16" fillId="0" borderId="16" xfId="9" applyFont="1" applyFill="1" applyBorder="1">
      <alignment vertical="center"/>
    </xf>
    <xf numFmtId="10" fontId="32" fillId="0" borderId="113" xfId="7" applyNumberFormat="1" applyFont="1" applyFill="1" applyBorder="1" applyAlignment="1">
      <alignment vertical="center"/>
    </xf>
    <xf numFmtId="3" fontId="42" fillId="0" borderId="0" xfId="0" applyNumberFormat="1" applyFont="1" applyFill="1"/>
    <xf numFmtId="3" fontId="11" fillId="0" borderId="85" xfId="4" applyNumberFormat="1" applyFont="1" applyFill="1" applyBorder="1">
      <alignment vertical="center"/>
      <protection locked="0"/>
    </xf>
    <xf numFmtId="3" fontId="11" fillId="0" borderId="229" xfId="4" applyNumberFormat="1" applyFont="1" applyFill="1" applyBorder="1">
      <alignment vertical="center"/>
      <protection locked="0"/>
    </xf>
    <xf numFmtId="0" fontId="38" fillId="0" borderId="230" xfId="9" applyFont="1" applyFill="1" applyBorder="1">
      <alignment vertical="center"/>
    </xf>
    <xf numFmtId="0" fontId="18" fillId="0" borderId="111" xfId="9" applyFont="1" applyFill="1" applyBorder="1">
      <alignment vertical="center"/>
    </xf>
    <xf numFmtId="3" fontId="11" fillId="0" borderId="111" xfId="4" applyNumberFormat="1" applyFont="1" applyFill="1" applyBorder="1">
      <alignment vertical="center"/>
      <protection locked="0"/>
    </xf>
    <xf numFmtId="3" fontId="10" fillId="0" borderId="143" xfId="4" applyNumberFormat="1" applyFill="1" applyBorder="1">
      <alignment vertical="center"/>
      <protection locked="0"/>
    </xf>
    <xf numFmtId="3" fontId="10" fillId="0" borderId="129" xfId="4" applyNumberFormat="1" applyFill="1" applyBorder="1">
      <alignment vertical="center"/>
      <protection locked="0"/>
    </xf>
    <xf numFmtId="0" fontId="10" fillId="0" borderId="189" xfId="9" applyFont="1" applyFill="1" applyBorder="1">
      <alignment vertical="center"/>
    </xf>
    <xf numFmtId="3" fontId="10" fillId="0" borderId="168" xfId="4" applyNumberFormat="1" applyFill="1" applyBorder="1">
      <alignment vertical="center"/>
      <protection locked="0"/>
    </xf>
    <xf numFmtId="0" fontId="38" fillId="0" borderId="145" xfId="9" applyFont="1" applyFill="1" applyBorder="1">
      <alignment vertical="center"/>
    </xf>
    <xf numFmtId="3" fontId="38" fillId="0" borderId="169" xfId="4" applyNumberFormat="1" applyFont="1" applyFill="1" applyBorder="1">
      <alignment vertical="center"/>
      <protection locked="0"/>
    </xf>
    <xf numFmtId="0" fontId="9" fillId="0" borderId="190" xfId="15" applyFont="1" applyFill="1" applyBorder="1">
      <alignment horizontal="center" vertical="center"/>
    </xf>
    <xf numFmtId="3" fontId="32" fillId="0" borderId="106" xfId="0" applyNumberFormat="1" applyFont="1" applyFill="1" applyBorder="1" applyAlignment="1">
      <alignment vertical="center"/>
    </xf>
    <xf numFmtId="0" fontId="25" fillId="0" borderId="29" xfId="0" applyFont="1" applyFill="1" applyBorder="1"/>
    <xf numFmtId="0" fontId="18" fillId="0" borderId="31" xfId="9" applyFont="1" applyFill="1" applyBorder="1">
      <alignment vertical="center"/>
    </xf>
    <xf numFmtId="3" fontId="11" fillId="0" borderId="235" xfId="2" applyNumberFormat="1" applyFill="1" applyBorder="1">
      <alignment vertical="center"/>
    </xf>
    <xf numFmtId="3" fontId="11" fillId="0" borderId="107" xfId="4" applyNumberFormat="1" applyFont="1" applyFill="1" applyBorder="1">
      <alignment vertical="center"/>
      <protection locked="0"/>
    </xf>
    <xf numFmtId="3" fontId="54" fillId="0" borderId="239" xfId="4" applyNumberFormat="1" applyFont="1" applyFill="1" applyBorder="1">
      <alignment vertical="center"/>
      <protection locked="0"/>
    </xf>
    <xf numFmtId="3" fontId="20" fillId="0" borderId="14" xfId="2" applyNumberFormat="1" applyFont="1" applyFill="1" applyBorder="1">
      <alignment vertical="center"/>
    </xf>
    <xf numFmtId="3" fontId="20" fillId="0" borderId="181" xfId="2" applyNumberFormat="1" applyFont="1" applyFill="1" applyBorder="1">
      <alignment vertical="center"/>
    </xf>
    <xf numFmtId="3" fontId="54" fillId="0" borderId="14" xfId="4" applyNumberFormat="1" applyFont="1" applyFill="1" applyBorder="1">
      <alignment vertical="center"/>
      <protection locked="0"/>
    </xf>
    <xf numFmtId="3" fontId="11" fillId="0" borderId="241" xfId="4" applyNumberFormat="1" applyFont="1" applyFill="1" applyBorder="1">
      <alignment vertical="center"/>
      <protection locked="0"/>
    </xf>
    <xf numFmtId="3" fontId="11" fillId="0" borderId="243" xfId="4" applyNumberFormat="1" applyFont="1" applyFill="1" applyBorder="1">
      <alignment vertical="center"/>
      <protection locked="0"/>
    </xf>
    <xf numFmtId="0" fontId="10" fillId="0" borderId="108" xfId="9" applyFont="1" applyFill="1" applyBorder="1">
      <alignment vertical="center"/>
    </xf>
    <xf numFmtId="3" fontId="59" fillId="0" borderId="53" xfId="0" applyNumberFormat="1" applyFont="1" applyFill="1" applyBorder="1"/>
    <xf numFmtId="3" fontId="25" fillId="0" borderId="92" xfId="0" applyNumberFormat="1" applyFont="1" applyFill="1" applyBorder="1"/>
    <xf numFmtId="3" fontId="13" fillId="0" borderId="104" xfId="4" applyNumberFormat="1" applyFont="1" applyFill="1" applyBorder="1">
      <alignment vertical="center"/>
      <protection locked="0"/>
    </xf>
    <xf numFmtId="3" fontId="16" fillId="0" borderId="248" xfId="4" applyNumberFormat="1" applyFont="1" applyFill="1" applyBorder="1">
      <alignment vertical="center"/>
      <protection locked="0"/>
    </xf>
    <xf numFmtId="3" fontId="11" fillId="0" borderId="167" xfId="4" applyNumberFormat="1" applyFont="1" applyFill="1" applyBorder="1">
      <alignment vertical="center"/>
      <protection locked="0"/>
    </xf>
    <xf numFmtId="3" fontId="13" fillId="0" borderId="246" xfId="4" applyNumberFormat="1" applyFont="1" applyFill="1" applyBorder="1">
      <alignment vertical="center"/>
      <protection locked="0"/>
    </xf>
    <xf numFmtId="3" fontId="11" fillId="0" borderId="249" xfId="4" applyNumberFormat="1" applyFont="1" applyFill="1" applyBorder="1">
      <alignment vertical="center"/>
      <protection locked="0"/>
    </xf>
    <xf numFmtId="0" fontId="10" fillId="0" borderId="224" xfId="9" applyFont="1" applyFill="1" applyBorder="1">
      <alignment vertical="center"/>
    </xf>
    <xf numFmtId="10" fontId="14" fillId="0" borderId="124" xfId="7" applyNumberFormat="1" applyFont="1" applyFill="1" applyBorder="1" applyAlignment="1">
      <alignment vertical="center"/>
    </xf>
    <xf numFmtId="0" fontId="16" fillId="0" borderId="49" xfId="9" applyFont="1" applyFill="1" applyBorder="1">
      <alignment vertical="center"/>
    </xf>
    <xf numFmtId="3" fontId="16" fillId="0" borderId="130" xfId="4" applyNumberFormat="1" applyFont="1" applyFill="1" applyBorder="1">
      <alignment vertical="center"/>
      <protection locked="0"/>
    </xf>
    <xf numFmtId="3" fontId="26" fillId="0" borderId="0" xfId="6" applyNumberFormat="1" applyFont="1" applyFill="1" applyAlignment="1">
      <alignment vertical="center"/>
    </xf>
    <xf numFmtId="3" fontId="25" fillId="0" borderId="101" xfId="0" applyNumberFormat="1" applyFont="1" applyFill="1" applyBorder="1"/>
    <xf numFmtId="3" fontId="25" fillId="0" borderId="131" xfId="0" applyNumberFormat="1" applyFont="1" applyFill="1" applyBorder="1"/>
    <xf numFmtId="0" fontId="54" fillId="0" borderId="7" xfId="9" applyFont="1" applyFill="1" applyBorder="1" applyAlignment="1">
      <alignment vertical="center" wrapText="1"/>
    </xf>
    <xf numFmtId="0" fontId="10" fillId="0" borderId="16" xfId="9" applyFont="1" applyFill="1" applyBorder="1">
      <alignment vertical="center"/>
    </xf>
    <xf numFmtId="3" fontId="26" fillId="0" borderId="162" xfId="0" applyNumberFormat="1" applyFont="1" applyFill="1" applyBorder="1"/>
    <xf numFmtId="3" fontId="16" fillId="0" borderId="19" xfId="4" applyNumberFormat="1" applyFont="1" applyFill="1" applyBorder="1">
      <alignment vertical="center"/>
      <protection locked="0"/>
    </xf>
    <xf numFmtId="0" fontId="6" fillId="4" borderId="0" xfId="0" applyFont="1" applyFill="1"/>
    <xf numFmtId="3" fontId="38" fillId="0" borderId="2" xfId="4" applyNumberFormat="1" applyFont="1" applyFill="1" applyBorder="1">
      <alignment vertical="center"/>
      <protection locked="0"/>
    </xf>
    <xf numFmtId="3" fontId="13" fillId="0" borderId="14" xfId="4" applyNumberFormat="1" applyFont="1" applyFill="1" applyBorder="1">
      <alignment vertical="center"/>
      <protection locked="0"/>
    </xf>
    <xf numFmtId="3" fontId="38" fillId="0" borderId="53" xfId="4" applyNumberFormat="1" applyFont="1" applyFill="1" applyBorder="1">
      <alignment vertical="center"/>
      <protection locked="0"/>
    </xf>
    <xf numFmtId="3" fontId="18" fillId="0" borderId="2" xfId="4" applyNumberFormat="1" applyFont="1" applyFill="1" applyBorder="1">
      <alignment vertical="center"/>
      <protection locked="0"/>
    </xf>
    <xf numFmtId="3" fontId="18" fillId="0" borderId="237" xfId="4" applyNumberFormat="1" applyFont="1" applyFill="1" applyBorder="1">
      <alignment vertical="center"/>
      <protection locked="0"/>
    </xf>
    <xf numFmtId="3" fontId="18" fillId="0" borderId="53" xfId="4" applyNumberFormat="1" applyFont="1" applyFill="1" applyBorder="1">
      <alignment vertical="center"/>
      <protection locked="0"/>
    </xf>
    <xf numFmtId="3" fontId="18" fillId="0" borderId="236" xfId="4" applyNumberFormat="1" applyFont="1" applyFill="1" applyBorder="1">
      <alignment vertical="center"/>
      <protection locked="0"/>
    </xf>
    <xf numFmtId="3" fontId="16" fillId="0" borderId="52" xfId="4" applyNumberFormat="1" applyFont="1" applyFill="1" applyBorder="1">
      <alignment vertical="center"/>
      <protection locked="0"/>
    </xf>
    <xf numFmtId="0" fontId="24" fillId="0" borderId="0" xfId="0" applyFont="1" applyFill="1"/>
    <xf numFmtId="3" fontId="20" fillId="0" borderId="2" xfId="4" applyNumberFormat="1" applyFont="1" applyFill="1" applyBorder="1">
      <alignment vertical="center"/>
      <protection locked="0"/>
    </xf>
    <xf numFmtId="3" fontId="11" fillId="0" borderId="110" xfId="4" applyNumberFormat="1" applyFont="1" applyFill="1" applyBorder="1">
      <alignment vertical="center"/>
      <protection locked="0"/>
    </xf>
    <xf numFmtId="0" fontId="15" fillId="0" borderId="255" xfId="15" applyFont="1" applyFill="1" applyBorder="1">
      <alignment horizontal="center" vertical="center"/>
    </xf>
    <xf numFmtId="0" fontId="11" fillId="0" borderId="28" xfId="9" applyFont="1" applyFill="1" applyBorder="1">
      <alignment vertical="center"/>
    </xf>
    <xf numFmtId="0" fontId="11" fillId="0" borderId="181" xfId="9" applyFont="1" applyFill="1" applyBorder="1" applyAlignment="1">
      <alignment horizontal="center" vertical="center"/>
    </xf>
    <xf numFmtId="3" fontId="11" fillId="0" borderId="109" xfId="2" applyNumberFormat="1" applyFont="1" applyFill="1" applyBorder="1">
      <alignment vertical="center"/>
    </xf>
    <xf numFmtId="0" fontId="16" fillId="0" borderId="109" xfId="14" applyFont="1" applyFill="1" applyBorder="1">
      <alignment horizontal="center" vertical="center"/>
    </xf>
    <xf numFmtId="3" fontId="11" fillId="0" borderId="19" xfId="2" applyNumberFormat="1" applyFont="1" applyFill="1" applyBorder="1">
      <alignment vertical="center"/>
    </xf>
    <xf numFmtId="0" fontId="14" fillId="0" borderId="0" xfId="0" applyFont="1" applyFill="1"/>
    <xf numFmtId="3" fontId="14" fillId="0" borderId="0" xfId="0" applyNumberFormat="1" applyFont="1" applyFill="1"/>
    <xf numFmtId="3" fontId="14" fillId="4" borderId="0" xfId="0" applyNumberFormat="1" applyFont="1" applyFill="1"/>
    <xf numFmtId="3" fontId="11" fillId="0" borderId="104" xfId="4" applyNumberFormat="1" applyFont="1" applyFill="1" applyBorder="1">
      <alignment vertical="center"/>
      <protection locked="0"/>
    </xf>
    <xf numFmtId="3" fontId="11" fillId="0" borderId="16" xfId="4" applyNumberFormat="1" applyFont="1" applyFill="1" applyBorder="1" applyProtection="1">
      <alignment vertical="center"/>
    </xf>
    <xf numFmtId="3" fontId="11" fillId="0" borderId="146" xfId="2" applyNumberFormat="1" applyFont="1" applyFill="1" applyBorder="1">
      <alignment vertical="center"/>
    </xf>
    <xf numFmtId="3" fontId="11" fillId="0" borderId="0" xfId="2" applyNumberFormat="1" applyFont="1" applyFill="1" applyBorder="1">
      <alignment vertical="center"/>
    </xf>
    <xf numFmtId="3" fontId="14" fillId="0" borderId="258" xfId="0" applyNumberFormat="1" applyFont="1" applyFill="1" applyBorder="1" applyAlignment="1">
      <alignment vertical="center"/>
    </xf>
    <xf numFmtId="3" fontId="33" fillId="0" borderId="171" xfId="2" applyNumberFormat="1" applyFont="1" applyFill="1" applyBorder="1">
      <alignment vertical="center"/>
    </xf>
    <xf numFmtId="0" fontId="11" fillId="0" borderId="16" xfId="9" applyFont="1" applyFill="1" applyBorder="1" applyAlignment="1">
      <alignment vertical="center" wrapText="1"/>
    </xf>
    <xf numFmtId="0" fontId="25" fillId="0" borderId="194" xfId="0" applyFont="1" applyFill="1" applyBorder="1" applyAlignment="1">
      <alignment horizontal="center" vertical="center"/>
    </xf>
    <xf numFmtId="0" fontId="48" fillId="0" borderId="16" xfId="9" applyFont="1" applyFill="1" applyBorder="1">
      <alignment vertical="center"/>
    </xf>
    <xf numFmtId="3" fontId="66" fillId="0" borderId="208" xfId="4" applyNumberFormat="1" applyFont="1" applyFill="1" applyBorder="1">
      <alignment vertical="center"/>
      <protection locked="0"/>
    </xf>
    <xf numFmtId="3" fontId="66" fillId="0" borderId="208" xfId="2" applyNumberFormat="1" applyFont="1" applyFill="1" applyBorder="1">
      <alignment vertical="center"/>
    </xf>
    <xf numFmtId="0" fontId="67" fillId="0" borderId="226" xfId="0" applyFont="1" applyFill="1" applyBorder="1"/>
    <xf numFmtId="0" fontId="25" fillId="0" borderId="188" xfId="0" applyFont="1" applyFill="1" applyBorder="1" applyAlignment="1">
      <alignment horizontal="center" vertical="center"/>
    </xf>
    <xf numFmtId="0" fontId="66" fillId="0" borderId="184" xfId="9" applyFont="1" applyFill="1" applyBorder="1">
      <alignment vertical="center"/>
    </xf>
    <xf numFmtId="3" fontId="66" fillId="0" borderId="42" xfId="4" applyNumberFormat="1" applyFont="1" applyFill="1" applyBorder="1">
      <alignment vertical="center"/>
      <protection locked="0"/>
    </xf>
    <xf numFmtId="3" fontId="66" fillId="0" borderId="2" xfId="4" applyNumberFormat="1" applyFont="1" applyFill="1" applyBorder="1">
      <alignment vertical="center"/>
      <protection locked="0"/>
    </xf>
    <xf numFmtId="3" fontId="66" fillId="0" borderId="51" xfId="2" applyNumberFormat="1" applyFont="1" applyFill="1" applyBorder="1">
      <alignment vertical="center"/>
    </xf>
    <xf numFmtId="3" fontId="66" fillId="0" borderId="2" xfId="2" applyNumberFormat="1" applyFont="1" applyFill="1" applyBorder="1">
      <alignment vertical="center"/>
    </xf>
    <xf numFmtId="10" fontId="26" fillId="0" borderId="115" xfId="0" applyNumberFormat="1" applyFont="1" applyFill="1" applyBorder="1" applyAlignment="1">
      <alignment vertical="center"/>
    </xf>
    <xf numFmtId="0" fontId="66" fillId="0" borderId="185" xfId="9" applyFont="1" applyFill="1" applyBorder="1">
      <alignment vertical="center"/>
    </xf>
    <xf numFmtId="0" fontId="66" fillId="0" borderId="184" xfId="9" applyFont="1" applyFill="1" applyBorder="1" applyAlignment="1">
      <alignment vertical="center" wrapText="1"/>
    </xf>
    <xf numFmtId="0" fontId="25" fillId="0" borderId="196" xfId="0" applyFont="1" applyFill="1" applyBorder="1" applyAlignment="1">
      <alignment horizontal="center" vertical="center"/>
    </xf>
    <xf numFmtId="10" fontId="26" fillId="0" borderId="124" xfId="0" applyNumberFormat="1" applyFont="1" applyFill="1" applyBorder="1" applyAlignment="1">
      <alignment vertical="center"/>
    </xf>
    <xf numFmtId="0" fontId="25" fillId="0" borderId="197" xfId="0" applyFont="1" applyFill="1" applyBorder="1" applyAlignment="1">
      <alignment horizontal="center" vertical="center"/>
    </xf>
    <xf numFmtId="0" fontId="48" fillId="0" borderId="86" xfId="9" applyFont="1" applyFill="1" applyBorder="1">
      <alignment vertical="center"/>
    </xf>
    <xf numFmtId="3" fontId="15" fillId="0" borderId="89" xfId="4" applyNumberFormat="1" applyFont="1" applyFill="1" applyBorder="1">
      <alignment vertical="center"/>
      <protection locked="0"/>
    </xf>
    <xf numFmtId="3" fontId="15" fillId="0" borderId="250" xfId="2" applyNumberFormat="1" applyFont="1" applyFill="1" applyBorder="1">
      <alignment vertical="center"/>
    </xf>
    <xf numFmtId="3" fontId="15" fillId="0" borderId="50" xfId="4" applyNumberFormat="1" applyFont="1" applyFill="1" applyBorder="1">
      <alignment vertical="center"/>
      <protection locked="0"/>
    </xf>
    <xf numFmtId="3" fontId="15" fillId="0" borderId="89" xfId="2" applyNumberFormat="1" applyFont="1" applyFill="1" applyBorder="1">
      <alignment vertical="center"/>
    </xf>
    <xf numFmtId="10" fontId="25" fillId="0" borderId="113" xfId="0" applyNumberFormat="1" applyFont="1" applyFill="1" applyBorder="1" applyAlignment="1">
      <alignment vertical="center"/>
    </xf>
    <xf numFmtId="0" fontId="48" fillId="0" borderId="0" xfId="9" applyFont="1" applyFill="1" applyBorder="1">
      <alignment vertical="center"/>
    </xf>
    <xf numFmtId="3" fontId="66" fillId="0" borderId="238" xfId="4" applyNumberFormat="1" applyFont="1" applyFill="1" applyBorder="1">
      <alignment vertical="center"/>
      <protection locked="0"/>
    </xf>
    <xf numFmtId="3" fontId="66" fillId="0" borderId="238" xfId="2" applyNumberFormat="1" applyFont="1" applyFill="1" applyBorder="1">
      <alignment vertical="center"/>
    </xf>
    <xf numFmtId="10" fontId="26" fillId="0" borderId="226" xfId="0" applyNumberFormat="1" applyFont="1" applyFill="1" applyBorder="1" applyAlignment="1">
      <alignment vertical="center"/>
    </xf>
    <xf numFmtId="0" fontId="68" fillId="0" borderId="0" xfId="0" applyFont="1" applyFill="1"/>
    <xf numFmtId="3" fontId="66" fillId="0" borderId="2" xfId="4" applyNumberFormat="1" applyFont="1" applyFill="1" applyBorder="1" applyAlignment="1">
      <alignment vertical="center"/>
      <protection locked="0"/>
    </xf>
    <xf numFmtId="3" fontId="68" fillId="0" borderId="0" xfId="0" applyNumberFormat="1" applyFont="1" applyFill="1"/>
    <xf numFmtId="3" fontId="15" fillId="0" borderId="89" xfId="0" applyNumberFormat="1" applyFont="1" applyFill="1" applyBorder="1" applyAlignment="1">
      <alignment vertical="center"/>
    </xf>
    <xf numFmtId="3" fontId="15" fillId="0" borderId="251" xfId="4" applyNumberFormat="1" applyFont="1" applyFill="1" applyBorder="1">
      <alignment vertical="center"/>
      <protection locked="0"/>
    </xf>
    <xf numFmtId="3" fontId="15" fillId="0" borderId="252" xfId="2" applyNumberFormat="1" applyFont="1" applyFill="1" applyBorder="1">
      <alignment vertical="center"/>
    </xf>
    <xf numFmtId="0" fontId="69" fillId="0" borderId="0" xfId="0" applyFont="1" applyFill="1"/>
    <xf numFmtId="10" fontId="14" fillId="0" borderId="227" xfId="0" applyNumberFormat="1" applyFont="1" applyFill="1" applyBorder="1" applyAlignment="1">
      <alignment horizontal="right" vertical="center"/>
    </xf>
    <xf numFmtId="10" fontId="56" fillId="0" borderId="260" xfId="0" applyNumberFormat="1" applyFont="1" applyBorder="1" applyAlignment="1">
      <alignment vertical="center"/>
    </xf>
    <xf numFmtId="3" fontId="11" fillId="0" borderId="261" xfId="4" applyNumberFormat="1" applyFont="1" applyFill="1" applyBorder="1">
      <alignment vertical="center"/>
      <protection locked="0"/>
    </xf>
    <xf numFmtId="0" fontId="18" fillId="0" borderId="17" xfId="9" applyFont="1" applyFill="1" applyBorder="1" applyAlignment="1">
      <alignment vertical="center" wrapText="1"/>
    </xf>
    <xf numFmtId="3" fontId="18" fillId="0" borderId="96" xfId="4" applyNumberFormat="1" applyFont="1" applyFill="1" applyBorder="1">
      <alignment vertical="center"/>
      <protection locked="0"/>
    </xf>
    <xf numFmtId="3" fontId="18" fillId="0" borderId="4" xfId="4" applyNumberFormat="1" applyFont="1" applyFill="1" applyBorder="1">
      <alignment vertical="center"/>
      <protection locked="0"/>
    </xf>
    <xf numFmtId="3" fontId="18" fillId="0" borderId="16" xfId="4" applyNumberFormat="1" applyFont="1" applyFill="1" applyBorder="1">
      <alignment vertical="center"/>
      <protection locked="0"/>
    </xf>
    <xf numFmtId="0" fontId="17" fillId="0" borderId="16" xfId="9" applyFont="1" applyFill="1" applyBorder="1">
      <alignment vertical="center"/>
    </xf>
    <xf numFmtId="3" fontId="18" fillId="0" borderId="14" xfId="4" applyNumberFormat="1" applyFont="1" applyFill="1" applyBorder="1">
      <alignment vertical="center"/>
      <protection locked="0"/>
    </xf>
    <xf numFmtId="0" fontId="10" fillId="0" borderId="31" xfId="9" applyFont="1" applyFill="1" applyBorder="1">
      <alignment vertical="center"/>
    </xf>
    <xf numFmtId="3" fontId="11" fillId="0" borderId="247" xfId="4" applyNumberFormat="1" applyFont="1" applyFill="1" applyBorder="1">
      <alignment vertical="center"/>
      <protection locked="0"/>
    </xf>
    <xf numFmtId="0" fontId="27" fillId="0" borderId="84" xfId="9" applyFont="1" applyFill="1" applyBorder="1">
      <alignment vertical="center"/>
    </xf>
    <xf numFmtId="3" fontId="27" fillId="0" borderId="263" xfId="4" applyNumberFormat="1" applyFont="1" applyFill="1" applyBorder="1">
      <alignment vertical="center"/>
      <protection locked="0"/>
    </xf>
    <xf numFmtId="3" fontId="27" fillId="0" borderId="264" xfId="4" applyNumberFormat="1" applyFont="1" applyFill="1" applyBorder="1">
      <alignment vertical="center"/>
      <protection locked="0"/>
    </xf>
    <xf numFmtId="3" fontId="28" fillId="0" borderId="238" xfId="4" applyNumberFormat="1" applyFont="1" applyFill="1" applyBorder="1">
      <alignment vertical="center"/>
      <protection locked="0"/>
    </xf>
    <xf numFmtId="0" fontId="13" fillId="0" borderId="265" xfId="9" applyFont="1" applyFill="1" applyBorder="1">
      <alignment vertical="center"/>
    </xf>
    <xf numFmtId="3" fontId="13" fillId="0" borderId="266" xfId="4" applyNumberFormat="1" applyFont="1" applyFill="1" applyBorder="1">
      <alignment vertical="center"/>
      <protection locked="0"/>
    </xf>
    <xf numFmtId="3" fontId="13" fillId="0" borderId="267" xfId="4" applyNumberFormat="1" applyFont="1" applyFill="1" applyBorder="1">
      <alignment vertical="center"/>
      <protection locked="0"/>
    </xf>
    <xf numFmtId="3" fontId="16" fillId="0" borderId="146" xfId="4" applyNumberFormat="1" applyFont="1" applyFill="1" applyBorder="1">
      <alignment vertical="center"/>
      <protection locked="0"/>
    </xf>
    <xf numFmtId="0" fontId="13" fillId="0" borderId="86" xfId="9" applyFont="1" applyFill="1" applyBorder="1">
      <alignment vertical="center"/>
    </xf>
    <xf numFmtId="3" fontId="13" fillId="0" borderId="130" xfId="4" applyNumberFormat="1" applyFont="1" applyFill="1" applyBorder="1">
      <alignment vertical="center"/>
      <protection locked="0"/>
    </xf>
    <xf numFmtId="0" fontId="32" fillId="0" borderId="268" xfId="0" applyFont="1" applyFill="1" applyBorder="1" applyAlignment="1">
      <alignment horizontal="center" vertical="center"/>
    </xf>
    <xf numFmtId="3" fontId="11" fillId="0" borderId="270" xfId="4" applyNumberFormat="1" applyFont="1" applyFill="1" applyBorder="1">
      <alignment vertical="center"/>
      <protection locked="0"/>
    </xf>
    <xf numFmtId="0" fontId="10" fillId="0" borderId="273" xfId="9" applyFont="1" applyFill="1" applyBorder="1">
      <alignment vertical="center"/>
    </xf>
    <xf numFmtId="0" fontId="32" fillId="0" borderId="268" xfId="0" applyFont="1" applyBorder="1" applyAlignment="1">
      <alignment horizontal="center" vertical="center"/>
    </xf>
    <xf numFmtId="3" fontId="11" fillId="0" borderId="275" xfId="4" applyNumberFormat="1" applyFont="1" applyFill="1" applyBorder="1">
      <alignment vertical="center"/>
      <protection locked="0"/>
    </xf>
    <xf numFmtId="0" fontId="25" fillId="0" borderId="272" xfId="0" applyFont="1" applyFill="1" applyBorder="1" applyAlignment="1">
      <alignment horizontal="center" vertical="center"/>
    </xf>
    <xf numFmtId="0" fontId="66" fillId="0" borderId="273" xfId="9" applyFont="1" applyFill="1" applyBorder="1">
      <alignment vertical="center"/>
    </xf>
    <xf numFmtId="3" fontId="66" fillId="0" borderId="276" xfId="4" applyNumberFormat="1" applyFont="1" applyFill="1" applyBorder="1">
      <alignment vertical="center"/>
      <protection locked="0"/>
    </xf>
    <xf numFmtId="3" fontId="66" fillId="0" borderId="277" xfId="4" applyNumberFormat="1" applyFont="1" applyFill="1" applyBorder="1">
      <alignment vertical="center"/>
      <protection locked="0"/>
    </xf>
    <xf numFmtId="0" fontId="32" fillId="0" borderId="272" xfId="0" applyFont="1" applyFill="1" applyBorder="1" applyAlignment="1">
      <alignment horizontal="center" vertical="center"/>
    </xf>
    <xf numFmtId="0" fontId="10" fillId="0" borderId="269" xfId="9" applyFont="1" applyFill="1" applyBorder="1" applyAlignment="1">
      <alignment vertical="center" wrapText="1"/>
    </xf>
    <xf numFmtId="3" fontId="10" fillId="0" borderId="270" xfId="4" applyNumberFormat="1" applyFill="1" applyBorder="1">
      <alignment vertical="center"/>
      <protection locked="0"/>
    </xf>
    <xf numFmtId="3" fontId="10" fillId="0" borderId="277" xfId="4" applyNumberFormat="1" applyFill="1" applyBorder="1">
      <alignment vertical="center"/>
      <protection locked="0"/>
    </xf>
    <xf numFmtId="3" fontId="11" fillId="0" borderId="277" xfId="4" applyNumberFormat="1" applyFont="1" applyFill="1" applyBorder="1">
      <alignment vertical="center"/>
      <protection locked="0"/>
    </xf>
    <xf numFmtId="0" fontId="10" fillId="0" borderId="279" xfId="9" applyFont="1" applyFill="1" applyBorder="1">
      <alignment vertical="center"/>
    </xf>
    <xf numFmtId="0" fontId="10" fillId="0" borderId="280" xfId="9" applyFont="1" applyFill="1" applyBorder="1">
      <alignment vertical="center"/>
    </xf>
    <xf numFmtId="0" fontId="10" fillId="0" borderId="281" xfId="9" applyFont="1" applyFill="1" applyBorder="1">
      <alignment vertical="center"/>
    </xf>
    <xf numFmtId="3" fontId="11" fillId="0" borderId="283" xfId="4" applyNumberFormat="1" applyFont="1" applyFill="1" applyBorder="1">
      <alignment vertical="center"/>
      <protection locked="0"/>
    </xf>
    <xf numFmtId="3" fontId="20" fillId="0" borderId="287" xfId="4" applyNumberFormat="1" applyFont="1" applyFill="1" applyBorder="1">
      <alignment vertical="center"/>
      <protection locked="0"/>
    </xf>
    <xf numFmtId="3" fontId="20" fillId="0" borderId="278" xfId="4" applyNumberFormat="1" applyFont="1" applyFill="1" applyBorder="1">
      <alignment vertical="center"/>
      <protection locked="0"/>
    </xf>
    <xf numFmtId="3" fontId="20" fillId="0" borderId="284" xfId="4" applyNumberFormat="1" applyFont="1" applyFill="1" applyBorder="1">
      <alignment vertical="center"/>
      <protection locked="0"/>
    </xf>
    <xf numFmtId="0" fontId="11" fillId="0" borderId="273" xfId="9" applyFont="1" applyFill="1" applyBorder="1">
      <alignment vertical="center"/>
    </xf>
    <xf numFmtId="3" fontId="11" fillId="0" borderId="288" xfId="4" applyNumberFormat="1" applyFont="1" applyFill="1" applyBorder="1">
      <alignment vertical="center"/>
      <protection locked="0"/>
    </xf>
    <xf numFmtId="3" fontId="11" fillId="0" borderId="287" xfId="4" applyNumberFormat="1" applyFont="1" applyFill="1" applyBorder="1">
      <alignment vertical="center"/>
      <protection locked="0"/>
    </xf>
    <xf numFmtId="3" fontId="20" fillId="0" borderId="270" xfId="4" applyNumberFormat="1" applyFont="1" applyFill="1" applyBorder="1">
      <alignment vertical="center"/>
      <protection locked="0"/>
    </xf>
    <xf numFmtId="3" fontId="11" fillId="0" borderId="289" xfId="4" applyNumberFormat="1" applyFont="1" applyFill="1" applyBorder="1">
      <alignment vertical="center"/>
      <protection locked="0"/>
    </xf>
    <xf numFmtId="0" fontId="10" fillId="0" borderId="280" xfId="9" applyFont="1" applyFill="1" applyBorder="1" applyAlignment="1">
      <alignment vertical="center" wrapText="1"/>
    </xf>
    <xf numFmtId="0" fontId="10" fillId="0" borderId="287" xfId="9" applyFont="1" applyFill="1" applyBorder="1">
      <alignment vertical="center"/>
    </xf>
    <xf numFmtId="3" fontId="11" fillId="0" borderId="284" xfId="4" applyNumberFormat="1" applyFont="1" applyFill="1" applyBorder="1">
      <alignment vertical="center"/>
      <protection locked="0"/>
    </xf>
    <xf numFmtId="0" fontId="20" fillId="0" borderId="290" xfId="15" applyFont="1" applyFill="1" applyBorder="1" applyAlignment="1">
      <alignment horizontal="center" vertical="center"/>
    </xf>
    <xf numFmtId="3" fontId="20" fillId="0" borderId="291" xfId="2" applyNumberFormat="1" applyFont="1" applyFill="1" applyBorder="1">
      <alignment vertical="center"/>
    </xf>
    <xf numFmtId="0" fontId="18" fillId="0" borderId="273" xfId="9" applyFont="1" applyFill="1" applyBorder="1">
      <alignment vertical="center"/>
    </xf>
    <xf numFmtId="3" fontId="11" fillId="0" borderId="292" xfId="4" applyNumberFormat="1" applyFont="1" applyFill="1" applyBorder="1">
      <alignment vertical="center"/>
      <protection locked="0"/>
    </xf>
    <xf numFmtId="3" fontId="11" fillId="0" borderId="293" xfId="4" applyNumberFormat="1" applyFont="1" applyFill="1" applyBorder="1">
      <alignment vertical="center"/>
      <protection locked="0"/>
    </xf>
    <xf numFmtId="0" fontId="13" fillId="0" borderId="273" xfId="9" applyFont="1" applyFill="1" applyBorder="1">
      <alignment vertical="center"/>
    </xf>
    <xf numFmtId="3" fontId="16" fillId="0" borderId="276" xfId="4" applyNumberFormat="1" applyFont="1" applyFill="1" applyBorder="1">
      <alignment vertical="center"/>
      <protection locked="0"/>
    </xf>
    <xf numFmtId="3" fontId="16" fillId="0" borderId="271" xfId="4" applyNumberFormat="1" applyFont="1" applyFill="1" applyBorder="1">
      <alignment vertical="center"/>
      <protection locked="0"/>
    </xf>
    <xf numFmtId="3" fontId="16" fillId="0" borderId="270" xfId="4" applyNumberFormat="1" applyFont="1" applyFill="1" applyBorder="1">
      <alignment vertical="center"/>
      <protection locked="0"/>
    </xf>
    <xf numFmtId="10" fontId="14" fillId="0" borderId="274" xfId="0" applyNumberFormat="1" applyFont="1" applyFill="1" applyBorder="1" applyAlignment="1">
      <alignment vertical="center"/>
    </xf>
    <xf numFmtId="0" fontId="13" fillId="0" borderId="145" xfId="9" applyFont="1" applyFill="1" applyBorder="1">
      <alignment vertical="center"/>
    </xf>
    <xf numFmtId="3" fontId="11" fillId="0" borderId="286" xfId="4" applyNumberFormat="1" applyFont="1" applyFill="1" applyBorder="1">
      <alignment vertical="center"/>
      <protection locked="0"/>
    </xf>
    <xf numFmtId="3" fontId="16" fillId="0" borderId="295" xfId="2" applyNumberFormat="1" applyFont="1" applyFill="1" applyBorder="1">
      <alignment vertical="center"/>
    </xf>
    <xf numFmtId="0" fontId="38" fillId="0" borderId="150" xfId="9" applyFont="1" applyFill="1" applyBorder="1" applyAlignment="1"/>
    <xf numFmtId="0" fontId="9" fillId="0" borderId="297" xfId="15" applyFont="1" applyFill="1" applyBorder="1">
      <alignment horizontal="center" vertical="center"/>
    </xf>
    <xf numFmtId="0" fontId="9" fillId="0" borderId="298" xfId="15" applyFont="1" applyFill="1" applyBorder="1">
      <alignment horizontal="center" vertical="center"/>
    </xf>
    <xf numFmtId="3" fontId="20" fillId="0" borderId="300" xfId="4" applyNumberFormat="1" applyFont="1" applyFill="1" applyBorder="1">
      <alignment vertical="center"/>
      <protection locked="0"/>
    </xf>
    <xf numFmtId="3" fontId="20" fillId="0" borderId="301" xfId="4" applyNumberFormat="1" applyFont="1" applyFill="1" applyBorder="1">
      <alignment vertical="center"/>
      <protection locked="0"/>
    </xf>
    <xf numFmtId="3" fontId="20" fillId="0" borderId="275" xfId="4" applyNumberFormat="1" applyFont="1" applyFill="1" applyBorder="1">
      <alignment vertical="center"/>
      <protection locked="0"/>
    </xf>
    <xf numFmtId="3" fontId="33" fillId="0" borderId="303" xfId="4" applyNumberFormat="1" applyFont="1" applyFill="1" applyBorder="1">
      <alignment vertical="center"/>
      <protection locked="0"/>
    </xf>
    <xf numFmtId="3" fontId="11" fillId="0" borderId="305" xfId="4" applyNumberFormat="1" applyFont="1" applyFill="1" applyBorder="1">
      <alignment vertical="center"/>
      <protection locked="0"/>
    </xf>
    <xf numFmtId="3" fontId="11" fillId="0" borderId="306" xfId="4" applyNumberFormat="1" applyFont="1" applyFill="1" applyBorder="1">
      <alignment vertical="center"/>
      <protection locked="0"/>
    </xf>
    <xf numFmtId="3" fontId="33" fillId="0" borderId="276" xfId="4" applyNumberFormat="1" applyFont="1" applyFill="1" applyBorder="1">
      <alignment vertical="center"/>
      <protection locked="0"/>
    </xf>
    <xf numFmtId="3" fontId="33" fillId="0" borderId="307" xfId="4" applyNumberFormat="1" applyFont="1" applyFill="1" applyBorder="1">
      <alignment vertical="center"/>
      <protection locked="0"/>
    </xf>
    <xf numFmtId="0" fontId="9" fillId="0" borderId="309" xfId="15" applyFont="1" applyFill="1" applyBorder="1">
      <alignment horizontal="center" vertical="center"/>
    </xf>
    <xf numFmtId="0" fontId="9" fillId="0" borderId="307" xfId="15" applyFont="1" applyFill="1" applyBorder="1">
      <alignment horizontal="center" vertical="center"/>
    </xf>
    <xf numFmtId="3" fontId="11" fillId="0" borderId="226" xfId="4" applyNumberFormat="1" applyFont="1" applyFill="1" applyBorder="1">
      <alignment vertical="center"/>
      <protection locked="0"/>
    </xf>
    <xf numFmtId="3" fontId="20" fillId="0" borderId="310" xfId="4" applyNumberFormat="1" applyFont="1" applyFill="1" applyBorder="1">
      <alignment vertical="center"/>
      <protection locked="0"/>
    </xf>
    <xf numFmtId="3" fontId="11" fillId="6" borderId="14" xfId="4" applyNumberFormat="1" applyFont="1" applyFill="1" applyBorder="1">
      <alignment vertical="center"/>
      <protection locked="0"/>
    </xf>
    <xf numFmtId="0" fontId="10" fillId="0" borderId="269" xfId="9" applyFont="1" applyFill="1" applyBorder="1">
      <alignment vertical="center"/>
    </xf>
    <xf numFmtId="3" fontId="54" fillId="0" borderId="313" xfId="4" applyNumberFormat="1" applyFont="1" applyFill="1" applyBorder="1">
      <alignment vertical="center"/>
      <protection locked="0"/>
    </xf>
    <xf numFmtId="3" fontId="54" fillId="0" borderId="312" xfId="4" applyNumberFormat="1" applyFont="1" applyFill="1" applyBorder="1">
      <alignment vertical="center"/>
      <protection locked="0"/>
    </xf>
    <xf numFmtId="3" fontId="54" fillId="0" borderId="314" xfId="4" applyNumberFormat="1" applyFont="1" applyFill="1" applyBorder="1">
      <alignment vertical="center"/>
      <protection locked="0"/>
    </xf>
    <xf numFmtId="3" fontId="63" fillId="0" borderId="312" xfId="4" applyNumberFormat="1" applyFont="1" applyFill="1" applyBorder="1">
      <alignment vertical="center"/>
      <protection locked="0"/>
    </xf>
    <xf numFmtId="3" fontId="63" fillId="0" borderId="314" xfId="4" applyNumberFormat="1" applyFont="1" applyFill="1" applyBorder="1">
      <alignment vertical="center"/>
      <protection locked="0"/>
    </xf>
    <xf numFmtId="3" fontId="54" fillId="0" borderId="315" xfId="4" applyNumberFormat="1" applyFont="1" applyFill="1" applyBorder="1">
      <alignment vertical="center"/>
      <protection locked="0"/>
    </xf>
    <xf numFmtId="3" fontId="54" fillId="0" borderId="316" xfId="4" applyNumberFormat="1" applyFont="1" applyFill="1" applyBorder="1">
      <alignment vertical="center"/>
      <protection locked="0"/>
    </xf>
    <xf numFmtId="3" fontId="10" fillId="0" borderId="315" xfId="4" applyNumberFormat="1" applyFill="1" applyBorder="1">
      <alignment vertical="center"/>
      <protection locked="0"/>
    </xf>
    <xf numFmtId="3" fontId="10" fillId="0" borderId="316" xfId="4" applyNumberFormat="1" applyFill="1" applyBorder="1">
      <alignment vertical="center"/>
      <protection locked="0"/>
    </xf>
    <xf numFmtId="3" fontId="10" fillId="0" borderId="316" xfId="4" applyNumberFormat="1" applyFont="1" applyFill="1" applyBorder="1">
      <alignment vertical="center"/>
      <protection locked="0"/>
    </xf>
    <xf numFmtId="3" fontId="54" fillId="0" borderId="318" xfId="4" applyNumberFormat="1" applyFont="1" applyFill="1" applyBorder="1">
      <alignment vertical="center"/>
      <protection locked="0"/>
    </xf>
    <xf numFmtId="3" fontId="10" fillId="0" borderId="318" xfId="4" applyNumberFormat="1" applyFill="1" applyBorder="1">
      <alignment vertical="center"/>
      <protection locked="0"/>
    </xf>
    <xf numFmtId="3" fontId="10" fillId="0" borderId="319" xfId="4" applyNumberFormat="1" applyFill="1" applyBorder="1">
      <alignment vertical="center"/>
      <protection locked="0"/>
    </xf>
    <xf numFmtId="3" fontId="10" fillId="0" borderId="312" xfId="4" applyNumberFormat="1" applyFill="1" applyBorder="1">
      <alignment vertical="center"/>
      <protection locked="0"/>
    </xf>
    <xf numFmtId="3" fontId="63" fillId="0" borderId="315" xfId="4" applyNumberFormat="1" applyFont="1" applyFill="1" applyBorder="1">
      <alignment vertical="center"/>
      <protection locked="0"/>
    </xf>
    <xf numFmtId="3" fontId="10" fillId="0" borderId="315" xfId="4" applyNumberFormat="1" applyFont="1" applyFill="1" applyBorder="1">
      <alignment vertical="center"/>
      <protection locked="0"/>
    </xf>
    <xf numFmtId="3" fontId="10" fillId="0" borderId="316" xfId="4" applyNumberFormat="1" applyFont="1" applyBorder="1">
      <alignment vertical="center"/>
      <protection locked="0"/>
    </xf>
    <xf numFmtId="3" fontId="63" fillId="0" borderId="316" xfId="4" applyNumberFormat="1" applyFont="1" applyFill="1" applyBorder="1">
      <alignment vertical="center"/>
      <protection locked="0"/>
    </xf>
    <xf numFmtId="3" fontId="18" fillId="0" borderId="315" xfId="4" applyNumberFormat="1" applyFont="1" applyFill="1" applyBorder="1">
      <alignment vertical="center"/>
      <protection locked="0"/>
    </xf>
    <xf numFmtId="3" fontId="18" fillId="0" borderId="316" xfId="4" applyNumberFormat="1" applyFont="1" applyFill="1" applyBorder="1">
      <alignment vertical="center"/>
      <protection locked="0"/>
    </xf>
    <xf numFmtId="3" fontId="18" fillId="0" borderId="321" xfId="4" applyNumberFormat="1" applyFont="1" applyFill="1" applyBorder="1">
      <alignment vertical="center"/>
      <protection locked="0"/>
    </xf>
    <xf numFmtId="3" fontId="18" fillId="0" borderId="312" xfId="4" applyNumberFormat="1" applyFont="1" applyFill="1" applyBorder="1">
      <alignment vertical="center"/>
      <protection locked="0"/>
    </xf>
    <xf numFmtId="3" fontId="13" fillId="0" borderId="322" xfId="4" applyNumberFormat="1" applyFont="1" applyFill="1" applyBorder="1">
      <alignment vertical="center"/>
      <protection locked="0"/>
    </xf>
    <xf numFmtId="3" fontId="13" fillId="0" borderId="323" xfId="4" applyNumberFormat="1" applyFont="1" applyFill="1" applyBorder="1">
      <alignment vertical="center"/>
      <protection locked="0"/>
    </xf>
    <xf numFmtId="3" fontId="16" fillId="0" borderId="324" xfId="2" applyNumberFormat="1" applyFont="1" applyFill="1" applyBorder="1">
      <alignment vertical="center"/>
    </xf>
    <xf numFmtId="3" fontId="16" fillId="0" borderId="325" xfId="2" applyNumberFormat="1" applyFont="1" applyFill="1" applyBorder="1">
      <alignment vertical="center"/>
    </xf>
    <xf numFmtId="3" fontId="10" fillId="0" borderId="326" xfId="4" applyNumberFormat="1" applyFill="1" applyBorder="1">
      <alignment vertical="center"/>
      <protection locked="0"/>
    </xf>
    <xf numFmtId="3" fontId="10" fillId="0" borderId="327" xfId="4" applyNumberFormat="1" applyFill="1" applyBorder="1">
      <alignment vertical="center"/>
      <protection locked="0"/>
    </xf>
    <xf numFmtId="3" fontId="20" fillId="0" borderId="316" xfId="2" applyNumberFormat="1" applyFont="1" applyFill="1" applyBorder="1">
      <alignment vertical="center"/>
    </xf>
    <xf numFmtId="3" fontId="20" fillId="0" borderId="328" xfId="2" applyNumberFormat="1" applyFont="1" applyFill="1" applyBorder="1">
      <alignment vertical="center"/>
    </xf>
    <xf numFmtId="3" fontId="13" fillId="0" borderId="314" xfId="4" applyNumberFormat="1" applyFont="1" applyFill="1" applyBorder="1">
      <alignment vertical="center"/>
      <protection locked="0"/>
    </xf>
    <xf numFmtId="3" fontId="13" fillId="0" borderId="312" xfId="4" applyNumberFormat="1" applyFont="1" applyFill="1" applyBorder="1">
      <alignment vertical="center"/>
      <protection locked="0"/>
    </xf>
    <xf numFmtId="3" fontId="13" fillId="0" borderId="316" xfId="4" applyNumberFormat="1" applyFont="1" applyFill="1" applyBorder="1">
      <alignment vertical="center"/>
      <protection locked="0"/>
    </xf>
    <xf numFmtId="3" fontId="16" fillId="0" borderId="316" xfId="2" applyNumberFormat="1" applyFont="1" applyFill="1" applyBorder="1">
      <alignment vertical="center"/>
    </xf>
    <xf numFmtId="3" fontId="16" fillId="0" borderId="320" xfId="2" applyNumberFormat="1" applyFont="1" applyFill="1" applyBorder="1">
      <alignment vertical="center"/>
    </xf>
    <xf numFmtId="3" fontId="10" fillId="0" borderId="314" xfId="4" applyNumberFormat="1" applyFill="1" applyBorder="1">
      <alignment vertical="center"/>
      <protection locked="0"/>
    </xf>
    <xf numFmtId="3" fontId="11" fillId="0" borderId="328" xfId="2" applyNumberFormat="1" applyFill="1" applyBorder="1">
      <alignment vertical="center"/>
    </xf>
    <xf numFmtId="3" fontId="10" fillId="0" borderId="329" xfId="4" applyNumberFormat="1" applyFill="1" applyBorder="1">
      <alignment vertical="center"/>
      <protection locked="0"/>
    </xf>
    <xf numFmtId="3" fontId="38" fillId="0" borderId="330" xfId="4" applyNumberFormat="1" applyFont="1" applyFill="1" applyBorder="1">
      <alignment vertical="center"/>
      <protection locked="0"/>
    </xf>
    <xf numFmtId="3" fontId="38" fillId="0" borderId="331" xfId="4" applyNumberFormat="1" applyFont="1" applyFill="1" applyBorder="1">
      <alignment vertical="center"/>
      <protection locked="0"/>
    </xf>
    <xf numFmtId="3" fontId="13" fillId="0" borderId="320" xfId="4" applyNumberFormat="1" applyFont="1" applyFill="1" applyBorder="1">
      <alignment vertical="center"/>
      <protection locked="0"/>
    </xf>
    <xf numFmtId="3" fontId="18" fillId="0" borderId="330" xfId="4" applyNumberFormat="1" applyFont="1" applyFill="1" applyBorder="1">
      <alignment vertical="center"/>
      <protection locked="0"/>
    </xf>
    <xf numFmtId="3" fontId="18" fillId="0" borderId="332" xfId="4" applyNumberFormat="1" applyFont="1" applyFill="1" applyBorder="1">
      <alignment vertical="center"/>
      <protection locked="0"/>
    </xf>
    <xf numFmtId="3" fontId="18" fillId="0" borderId="333" xfId="4" applyNumberFormat="1" applyFont="1" applyFill="1" applyBorder="1">
      <alignment vertical="center"/>
      <protection locked="0"/>
    </xf>
    <xf numFmtId="3" fontId="20" fillId="0" borderId="315" xfId="4" applyNumberFormat="1" applyFont="1" applyFill="1" applyBorder="1">
      <alignment vertical="center"/>
      <protection locked="0"/>
    </xf>
    <xf numFmtId="3" fontId="10" fillId="0" borderId="334" xfId="4" applyNumberFormat="1" applyFill="1" applyBorder="1">
      <alignment vertical="center"/>
      <protection locked="0"/>
    </xf>
    <xf numFmtId="3" fontId="10" fillId="0" borderId="335" xfId="4" applyNumberFormat="1" applyFill="1" applyBorder="1">
      <alignment vertical="center"/>
      <protection locked="0"/>
    </xf>
    <xf numFmtId="3" fontId="13" fillId="0" borderId="335" xfId="4" applyNumberFormat="1" applyFont="1" applyFill="1" applyBorder="1">
      <alignment vertical="center"/>
      <protection locked="0"/>
    </xf>
    <xf numFmtId="3" fontId="18" fillId="0" borderId="336" xfId="4" applyNumberFormat="1" applyFont="1" applyFill="1" applyBorder="1">
      <alignment vertical="center"/>
      <protection locked="0"/>
    </xf>
    <xf numFmtId="0" fontId="58" fillId="0" borderId="0" xfId="0" applyFont="1" applyFill="1"/>
    <xf numFmtId="3" fontId="57" fillId="0" borderId="0" xfId="0" applyNumberFormat="1" applyFont="1" applyFill="1"/>
    <xf numFmtId="0" fontId="57" fillId="0" borderId="0" xfId="0" applyFont="1" applyFill="1"/>
    <xf numFmtId="0" fontId="45" fillId="0" borderId="0" xfId="0" applyFont="1" applyFill="1"/>
    <xf numFmtId="3" fontId="18" fillId="0" borderId="313" xfId="4" applyNumberFormat="1" applyFont="1" applyFill="1" applyBorder="1">
      <alignment vertical="center"/>
      <protection locked="0"/>
    </xf>
    <xf numFmtId="3" fontId="20" fillId="0" borderId="327" xfId="4" applyNumberFormat="1" applyFont="1" applyFill="1" applyBorder="1">
      <alignment vertical="center"/>
      <protection locked="0"/>
    </xf>
    <xf numFmtId="3" fontId="20" fillId="0" borderId="337" xfId="4" applyNumberFormat="1" applyFont="1" applyFill="1" applyBorder="1">
      <alignment vertical="center"/>
      <protection locked="0"/>
    </xf>
    <xf numFmtId="10" fontId="26" fillId="0" borderId="338" xfId="0" applyNumberFormat="1" applyFont="1" applyFill="1" applyBorder="1" applyAlignment="1">
      <alignment vertical="center"/>
    </xf>
    <xf numFmtId="10" fontId="26" fillId="0" borderId="113" xfId="0" applyNumberFormat="1" applyFont="1" applyFill="1" applyBorder="1" applyAlignment="1">
      <alignment vertical="center"/>
    </xf>
    <xf numFmtId="10" fontId="32" fillId="0" borderId="123" xfId="0" applyNumberFormat="1" applyFont="1" applyFill="1" applyBorder="1" applyAlignment="1">
      <alignment vertical="center"/>
    </xf>
    <xf numFmtId="10" fontId="32" fillId="0" borderId="116" xfId="0" applyNumberFormat="1" applyFont="1" applyFill="1" applyBorder="1" applyAlignment="1">
      <alignment vertical="center"/>
    </xf>
    <xf numFmtId="3" fontId="15" fillId="0" borderId="171" xfId="2" applyNumberFormat="1" applyFont="1" applyFill="1" applyBorder="1">
      <alignment vertical="center"/>
    </xf>
    <xf numFmtId="3" fontId="15" fillId="0" borderId="47" xfId="2" applyNumberFormat="1" applyFont="1" applyFill="1" applyBorder="1">
      <alignment vertical="center"/>
    </xf>
    <xf numFmtId="3" fontId="15" fillId="0" borderId="48" xfId="2" applyNumberFormat="1" applyFont="1" applyFill="1" applyBorder="1">
      <alignment vertical="center"/>
    </xf>
    <xf numFmtId="3" fontId="15" fillId="0" borderId="172" xfId="2" applyNumberFormat="1" applyFont="1" applyFill="1" applyBorder="1">
      <alignment vertical="center"/>
    </xf>
    <xf numFmtId="10" fontId="25" fillId="0" borderId="126" xfId="0" applyNumberFormat="1" applyFont="1" applyFill="1" applyBorder="1" applyAlignment="1">
      <alignment horizontal="right" vertical="center"/>
    </xf>
    <xf numFmtId="0" fontId="69" fillId="0" borderId="0" xfId="0" applyFont="1"/>
    <xf numFmtId="3" fontId="67" fillId="0" borderId="0" xfId="0" applyNumberFormat="1" applyFont="1"/>
    <xf numFmtId="0" fontId="9" fillId="0" borderId="339" xfId="15" applyFont="1" applyFill="1" applyBorder="1">
      <alignment horizontal="center" vertical="center"/>
    </xf>
    <xf numFmtId="3" fontId="20" fillId="0" borderId="340" xfId="4" applyNumberFormat="1" applyFont="1" applyFill="1" applyBorder="1">
      <alignment vertical="center"/>
      <protection locked="0"/>
    </xf>
    <xf numFmtId="3" fontId="11" fillId="0" borderId="341" xfId="4" applyNumberFormat="1" applyFont="1" applyFill="1" applyBorder="1">
      <alignment vertical="center"/>
      <protection locked="0"/>
    </xf>
    <xf numFmtId="3" fontId="11" fillId="0" borderId="345" xfId="4" applyNumberFormat="1" applyFont="1" applyFill="1" applyBorder="1">
      <alignment vertical="center"/>
      <protection locked="0"/>
    </xf>
    <xf numFmtId="3" fontId="11" fillId="0" borderId="348" xfId="4" applyNumberFormat="1" applyFont="1" applyFill="1" applyBorder="1">
      <alignment vertical="center"/>
      <protection locked="0"/>
    </xf>
    <xf numFmtId="0" fontId="9" fillId="0" borderId="349" xfId="15" applyFont="1" applyFill="1" applyBorder="1">
      <alignment horizontal="center" vertical="center"/>
    </xf>
    <xf numFmtId="3" fontId="11" fillId="0" borderId="350" xfId="4" applyNumberFormat="1" applyFont="1" applyFill="1" applyBorder="1">
      <alignment vertical="center"/>
      <protection locked="0"/>
    </xf>
    <xf numFmtId="3" fontId="20" fillId="0" borderId="352" xfId="4" applyNumberFormat="1" applyFont="1" applyFill="1" applyBorder="1">
      <alignment vertical="center"/>
      <protection locked="0"/>
    </xf>
    <xf numFmtId="3" fontId="11" fillId="0" borderId="354" xfId="4" applyNumberFormat="1" applyFont="1" applyFill="1" applyBorder="1">
      <alignment vertical="center"/>
      <protection locked="0"/>
    </xf>
    <xf numFmtId="3" fontId="20" fillId="0" borderId="355" xfId="4" applyNumberFormat="1" applyFont="1" applyFill="1" applyBorder="1">
      <alignment vertical="center"/>
      <protection locked="0"/>
    </xf>
    <xf numFmtId="3" fontId="20" fillId="0" borderId="33" xfId="4" applyNumberFormat="1" applyFont="1" applyFill="1" applyBorder="1">
      <alignment vertical="center"/>
      <protection locked="0"/>
    </xf>
    <xf numFmtId="10" fontId="20" fillId="0" borderId="351" xfId="4" applyNumberFormat="1" applyFont="1" applyFill="1" applyBorder="1">
      <alignment vertical="center"/>
      <protection locked="0"/>
    </xf>
    <xf numFmtId="10" fontId="20" fillId="0" borderId="308" xfId="4" applyNumberFormat="1" applyFont="1" applyFill="1" applyBorder="1">
      <alignment vertical="center"/>
      <protection locked="0"/>
    </xf>
    <xf numFmtId="10" fontId="16" fillId="0" borderId="311" xfId="4" applyNumberFormat="1" applyFont="1" applyFill="1" applyBorder="1">
      <alignment vertical="center"/>
      <protection locked="0"/>
    </xf>
    <xf numFmtId="10" fontId="11" fillId="0" borderId="302" xfId="4" applyNumberFormat="1" applyFont="1" applyFill="1" applyBorder="1">
      <alignment vertical="center"/>
      <protection locked="0"/>
    </xf>
    <xf numFmtId="10" fontId="33" fillId="0" borderId="304" xfId="4" applyNumberFormat="1" applyFont="1" applyFill="1" applyBorder="1">
      <alignment vertical="center"/>
      <protection locked="0"/>
    </xf>
    <xf numFmtId="10" fontId="11" fillId="0" borderId="100" xfId="4" applyNumberFormat="1" applyFont="1" applyFill="1" applyBorder="1">
      <alignment vertical="center"/>
      <protection locked="0"/>
    </xf>
    <xf numFmtId="10" fontId="11" fillId="0" borderId="344" xfId="4" applyNumberFormat="1" applyFont="1" applyFill="1" applyBorder="1">
      <alignment vertical="center"/>
      <protection locked="0"/>
    </xf>
    <xf numFmtId="10" fontId="11" fillId="0" borderId="346" xfId="4" applyNumberFormat="1" applyFont="1" applyFill="1" applyBorder="1">
      <alignment vertical="center"/>
      <protection locked="0"/>
    </xf>
    <xf numFmtId="10" fontId="33" fillId="0" borderId="347" xfId="4" applyNumberFormat="1" applyFont="1" applyFill="1" applyBorder="1">
      <alignment vertical="center"/>
      <protection locked="0"/>
    </xf>
    <xf numFmtId="10" fontId="16" fillId="0" borderId="113" xfId="4" applyNumberFormat="1" applyFont="1" applyFill="1" applyBorder="1">
      <alignment vertical="center"/>
      <protection locked="0"/>
    </xf>
    <xf numFmtId="0" fontId="32" fillId="0" borderId="356" xfId="0" applyFont="1" applyBorder="1" applyAlignment="1">
      <alignment horizontal="center" vertical="center"/>
    </xf>
    <xf numFmtId="0" fontId="10" fillId="0" borderId="357" xfId="9" applyFont="1" applyFill="1" applyBorder="1" applyAlignment="1">
      <alignment vertical="center" wrapText="1"/>
    </xf>
    <xf numFmtId="3" fontId="11" fillId="0" borderId="358" xfId="4" applyNumberFormat="1" applyFont="1" applyFill="1" applyBorder="1">
      <alignment vertical="center"/>
      <protection locked="0"/>
    </xf>
    <xf numFmtId="10" fontId="14" fillId="0" borderId="360" xfId="0" applyNumberFormat="1" applyFont="1" applyFill="1" applyBorder="1" applyAlignment="1">
      <alignment vertical="center"/>
    </xf>
    <xf numFmtId="3" fontId="11" fillId="0" borderId="359" xfId="4" applyNumberFormat="1" applyFont="1" applyFill="1" applyBorder="1">
      <alignment vertical="center"/>
      <protection locked="0"/>
    </xf>
    <xf numFmtId="0" fontId="10" fillId="0" borderId="357" xfId="9" applyFont="1" applyFill="1" applyBorder="1">
      <alignment vertical="center"/>
    </xf>
    <xf numFmtId="3" fontId="11" fillId="0" borderId="361" xfId="4" applyNumberFormat="1" applyFont="1" applyFill="1" applyBorder="1">
      <alignment vertical="center"/>
      <protection locked="0"/>
    </xf>
    <xf numFmtId="3" fontId="11" fillId="0" borderId="352" xfId="4" applyNumberFormat="1" applyFont="1" applyFill="1" applyBorder="1">
      <alignment vertical="center"/>
      <protection locked="0"/>
    </xf>
    <xf numFmtId="0" fontId="13" fillId="0" borderId="184" xfId="9" applyFont="1" applyFill="1" applyBorder="1" applyAlignment="1">
      <alignment vertical="center"/>
    </xf>
    <xf numFmtId="0" fontId="32" fillId="0" borderId="356" xfId="0" applyFont="1" applyFill="1" applyBorder="1" applyAlignment="1">
      <alignment horizontal="center" vertical="center"/>
    </xf>
    <xf numFmtId="3" fontId="10" fillId="0" borderId="57" xfId="4" applyNumberFormat="1" applyFill="1" applyBorder="1">
      <alignment vertical="center"/>
      <protection locked="0"/>
    </xf>
    <xf numFmtId="3" fontId="10" fillId="0" borderId="282" xfId="4" applyNumberFormat="1" applyFill="1" applyBorder="1">
      <alignment vertical="center"/>
      <protection locked="0"/>
    </xf>
    <xf numFmtId="3" fontId="38" fillId="0" borderId="91" xfId="4" applyNumberFormat="1" applyFont="1" applyFill="1" applyBorder="1">
      <alignment vertical="center"/>
      <protection locked="0"/>
    </xf>
    <xf numFmtId="3" fontId="10" fillId="0" borderId="244" xfId="4" applyNumberFormat="1" applyFill="1" applyBorder="1">
      <alignment vertical="center"/>
      <protection locked="0"/>
    </xf>
    <xf numFmtId="3" fontId="10" fillId="0" borderId="63" xfId="4" applyNumberFormat="1" applyFill="1" applyBorder="1">
      <alignment vertical="center"/>
      <protection locked="0"/>
    </xf>
    <xf numFmtId="3" fontId="10" fillId="0" borderId="66" xfId="4" applyNumberFormat="1" applyFill="1" applyBorder="1">
      <alignment vertical="center"/>
      <protection locked="0"/>
    </xf>
    <xf numFmtId="0" fontId="25" fillId="0" borderId="232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 wrapText="1"/>
    </xf>
    <xf numFmtId="3" fontId="25" fillId="0" borderId="36" xfId="0" applyNumberFormat="1" applyFont="1" applyFill="1" applyBorder="1" applyAlignment="1">
      <alignment horizontal="center" vertical="center"/>
    </xf>
    <xf numFmtId="0" fontId="26" fillId="0" borderId="233" xfId="0" applyFont="1" applyFill="1" applyBorder="1"/>
    <xf numFmtId="0" fontId="26" fillId="0" borderId="93" xfId="0" applyFont="1" applyFill="1" applyBorder="1"/>
    <xf numFmtId="0" fontId="26" fillId="0" borderId="93" xfId="0" applyFont="1" applyFill="1" applyBorder="1" applyAlignment="1">
      <alignment horizontal="center"/>
    </xf>
    <xf numFmtId="4" fontId="26" fillId="0" borderId="93" xfId="0" applyNumberFormat="1" applyFont="1" applyFill="1" applyBorder="1" applyAlignment="1">
      <alignment horizontal="center"/>
    </xf>
    <xf numFmtId="3" fontId="26" fillId="0" borderId="226" xfId="0" applyNumberFormat="1" applyFont="1" applyFill="1" applyBorder="1"/>
    <xf numFmtId="0" fontId="26" fillId="0" borderId="53" xfId="0" applyFont="1" applyFill="1" applyBorder="1" applyAlignment="1">
      <alignment horizontal="center"/>
    </xf>
    <xf numFmtId="3" fontId="26" fillId="0" borderId="53" xfId="0" applyNumberFormat="1" applyFont="1" applyFill="1" applyBorder="1" applyAlignment="1">
      <alignment horizontal="center"/>
    </xf>
    <xf numFmtId="3" fontId="26" fillId="0" borderId="53" xfId="0" applyNumberFormat="1" applyFont="1" applyFill="1" applyBorder="1" applyAlignment="1">
      <alignment horizontal="right"/>
    </xf>
    <xf numFmtId="0" fontId="26" fillId="0" borderId="29" xfId="0" applyFont="1" applyFill="1" applyBorder="1"/>
    <xf numFmtId="0" fontId="59" fillId="0" borderId="29" xfId="0" applyFont="1" applyFill="1" applyBorder="1"/>
    <xf numFmtId="0" fontId="59" fillId="0" borderId="53" xfId="0" applyFont="1" applyFill="1" applyBorder="1"/>
    <xf numFmtId="0" fontId="59" fillId="0" borderId="53" xfId="0" applyFont="1" applyFill="1" applyBorder="1" applyAlignment="1">
      <alignment horizontal="center"/>
    </xf>
    <xf numFmtId="3" fontId="59" fillId="0" borderId="53" xfId="0" applyNumberFormat="1" applyFont="1" applyFill="1" applyBorder="1" applyAlignment="1">
      <alignment horizontal="center"/>
    </xf>
    <xf numFmtId="4" fontId="26" fillId="0" borderId="53" xfId="0" applyNumberFormat="1" applyFont="1" applyFill="1" applyBorder="1" applyAlignment="1">
      <alignment horizontal="center"/>
    </xf>
    <xf numFmtId="4" fontId="59" fillId="0" borderId="53" xfId="0" applyNumberFormat="1" applyFont="1" applyFill="1" applyBorder="1" applyAlignment="1">
      <alignment horizontal="center"/>
    </xf>
    <xf numFmtId="0" fontId="26" fillId="0" borderId="53" xfId="0" applyFont="1" applyFill="1" applyBorder="1" applyAlignment="1">
      <alignment horizontal="center" wrapText="1"/>
    </xf>
    <xf numFmtId="0" fontId="26" fillId="0" borderId="29" xfId="0" applyFont="1" applyFill="1" applyBorder="1" applyAlignment="1">
      <alignment horizontal="left"/>
    </xf>
    <xf numFmtId="0" fontId="32" fillId="0" borderId="195" xfId="0" applyFont="1" applyFill="1" applyBorder="1" applyAlignment="1">
      <alignment horizontal="center" vertical="center"/>
    </xf>
    <xf numFmtId="0" fontId="32" fillId="0" borderId="199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 vertical="center"/>
    </xf>
    <xf numFmtId="0" fontId="34" fillId="0" borderId="194" xfId="0" applyFont="1" applyFill="1" applyBorder="1" applyAlignment="1">
      <alignment horizontal="center" vertical="center"/>
    </xf>
    <xf numFmtId="0" fontId="5" fillId="0" borderId="0" xfId="0" applyFont="1" applyFill="1"/>
    <xf numFmtId="0" fontId="14" fillId="0" borderId="31" xfId="0" applyFont="1" applyFill="1" applyBorder="1" applyAlignment="1">
      <alignment vertical="center"/>
    </xf>
    <xf numFmtId="0" fontId="14" fillId="0" borderId="286" xfId="0" applyFont="1" applyFill="1" applyBorder="1" applyAlignment="1">
      <alignment vertical="center"/>
    </xf>
    <xf numFmtId="0" fontId="32" fillId="0" borderId="23" xfId="0" applyFont="1" applyFill="1" applyBorder="1" applyAlignment="1">
      <alignment horizontal="center" vertical="center"/>
    </xf>
    <xf numFmtId="3" fontId="20" fillId="0" borderId="0" xfId="4" applyNumberFormat="1" applyFont="1" applyFill="1" applyBorder="1">
      <alignment vertical="center"/>
      <protection locked="0"/>
    </xf>
    <xf numFmtId="0" fontId="10" fillId="0" borderId="352" xfId="9" applyFont="1" applyFill="1" applyBorder="1">
      <alignment vertical="center"/>
    </xf>
    <xf numFmtId="3" fontId="20" fillId="0" borderId="305" xfId="4" applyNumberFormat="1" applyFont="1" applyFill="1" applyBorder="1">
      <alignment vertical="center"/>
      <protection locked="0"/>
    </xf>
    <xf numFmtId="3" fontId="20" fillId="0" borderId="361" xfId="4" applyNumberFormat="1" applyFont="1" applyFill="1" applyBorder="1">
      <alignment vertical="center"/>
      <protection locked="0"/>
    </xf>
    <xf numFmtId="0" fontId="10" fillId="0" borderId="353" xfId="9" applyFont="1" applyFill="1" applyBorder="1">
      <alignment vertical="center"/>
    </xf>
    <xf numFmtId="3" fontId="20" fillId="0" borderId="363" xfId="4" applyNumberFormat="1" applyFont="1" applyFill="1" applyBorder="1">
      <alignment vertical="center"/>
      <protection locked="0"/>
    </xf>
    <xf numFmtId="3" fontId="20" fillId="0" borderId="353" xfId="4" applyNumberFormat="1" applyFont="1" applyFill="1" applyBorder="1">
      <alignment vertical="center"/>
      <protection locked="0"/>
    </xf>
    <xf numFmtId="3" fontId="16" fillId="0" borderId="364" xfId="2" applyNumberFormat="1" applyFont="1" applyFill="1" applyBorder="1">
      <alignment vertical="center"/>
    </xf>
    <xf numFmtId="3" fontId="10" fillId="0" borderId="20" xfId="4" applyNumberFormat="1" applyFill="1" applyBorder="1">
      <alignment vertical="center"/>
      <protection locked="0"/>
    </xf>
    <xf numFmtId="3" fontId="10" fillId="0" borderId="3" xfId="4" applyNumberFormat="1" applyFill="1" applyBorder="1">
      <alignment vertical="center"/>
      <protection locked="0"/>
    </xf>
    <xf numFmtId="3" fontId="38" fillId="0" borderId="37" xfId="4" applyNumberFormat="1" applyFont="1" applyFill="1" applyBorder="1">
      <alignment vertical="center"/>
      <protection locked="0"/>
    </xf>
    <xf numFmtId="3" fontId="16" fillId="0" borderId="49" xfId="4" applyNumberFormat="1" applyFont="1" applyFill="1" applyBorder="1">
      <alignment vertical="center"/>
      <protection locked="0"/>
    </xf>
    <xf numFmtId="0" fontId="15" fillId="0" borderId="339" xfId="15" applyFont="1" applyFill="1" applyBorder="1">
      <alignment horizontal="center" vertical="center"/>
    </xf>
    <xf numFmtId="3" fontId="11" fillId="0" borderId="310" xfId="4" applyNumberFormat="1" applyFont="1" applyFill="1" applyBorder="1">
      <alignment vertical="center"/>
      <protection locked="0"/>
    </xf>
    <xf numFmtId="3" fontId="11" fillId="0" borderId="63" xfId="4" applyNumberFormat="1" applyFont="1" applyFill="1" applyBorder="1">
      <alignment vertical="center"/>
      <protection locked="0"/>
    </xf>
    <xf numFmtId="3" fontId="11" fillId="0" borderId="313" xfId="2" applyNumberFormat="1" applyFill="1" applyBorder="1">
      <alignment vertical="center"/>
    </xf>
    <xf numFmtId="0" fontId="15" fillId="0" borderId="10" xfId="13" applyFont="1" applyFill="1" applyBorder="1">
      <alignment horizontal="center" vertical="center" textRotation="90" wrapText="1"/>
    </xf>
    <xf numFmtId="3" fontId="16" fillId="0" borderId="250" xfId="2" applyNumberFormat="1" applyFont="1" applyFill="1" applyBorder="1">
      <alignment vertical="center"/>
    </xf>
    <xf numFmtId="0" fontId="21" fillId="0" borderId="105" xfId="13" applyFont="1" applyFill="1" applyBorder="1">
      <alignment horizontal="center" vertical="center" textRotation="90" wrapText="1"/>
    </xf>
    <xf numFmtId="3" fontId="40" fillId="0" borderId="270" xfId="4" applyNumberFormat="1" applyFont="1" applyFill="1" applyBorder="1">
      <alignment vertical="center"/>
      <protection locked="0"/>
    </xf>
    <xf numFmtId="3" fontId="40" fillId="0" borderId="171" xfId="2" applyNumberFormat="1" applyFont="1" applyFill="1" applyBorder="1">
      <alignment vertical="center"/>
    </xf>
    <xf numFmtId="3" fontId="40" fillId="0" borderId="93" xfId="0" applyNumberFormat="1" applyFont="1" applyFill="1" applyBorder="1"/>
    <xf numFmtId="3" fontId="40" fillId="0" borderId="53" xfId="0" applyNumberFormat="1" applyFont="1" applyFill="1" applyBorder="1"/>
    <xf numFmtId="3" fontId="50" fillId="0" borderId="53" xfId="0" applyNumberFormat="1" applyFont="1" applyFill="1" applyBorder="1"/>
    <xf numFmtId="3" fontId="40" fillId="0" borderId="237" xfId="0" applyNumberFormat="1" applyFont="1" applyFill="1" applyBorder="1"/>
    <xf numFmtId="3" fontId="40" fillId="0" borderId="92" xfId="0" applyNumberFormat="1" applyFont="1" applyFill="1" applyBorder="1"/>
    <xf numFmtId="3" fontId="40" fillId="0" borderId="368" xfId="0" applyNumberFormat="1" applyFont="1" applyFill="1" applyBorder="1"/>
    <xf numFmtId="3" fontId="40" fillId="0" borderId="369" xfId="0" applyNumberFormat="1" applyFont="1" applyFill="1" applyBorder="1"/>
    <xf numFmtId="3" fontId="40" fillId="0" borderId="359" xfId="0" applyNumberFormat="1" applyFont="1" applyFill="1" applyBorder="1"/>
    <xf numFmtId="3" fontId="40" fillId="0" borderId="25" xfId="0" applyNumberFormat="1" applyFont="1" applyFill="1" applyBorder="1"/>
    <xf numFmtId="3" fontId="40" fillId="0" borderId="366" xfId="0" applyNumberFormat="1" applyFont="1" applyFill="1" applyBorder="1"/>
    <xf numFmtId="3" fontId="40" fillId="0" borderId="358" xfId="0" applyNumberFormat="1" applyFont="1" applyFill="1" applyBorder="1"/>
    <xf numFmtId="3" fontId="40" fillId="0" borderId="177" xfId="0" applyNumberFormat="1" applyFont="1" applyFill="1" applyBorder="1"/>
    <xf numFmtId="3" fontId="40" fillId="0" borderId="367" xfId="0" applyNumberFormat="1" applyFont="1" applyFill="1" applyBorder="1"/>
    <xf numFmtId="3" fontId="40" fillId="0" borderId="370" xfId="0" applyNumberFormat="1" applyFont="1" applyFill="1" applyBorder="1"/>
    <xf numFmtId="3" fontId="40" fillId="0" borderId="132" xfId="0" applyNumberFormat="1" applyFont="1" applyFill="1" applyBorder="1"/>
    <xf numFmtId="3" fontId="40" fillId="0" borderId="371" xfId="0" applyNumberFormat="1" applyFont="1" applyFill="1" applyBorder="1"/>
    <xf numFmtId="3" fontId="10" fillId="0" borderId="313" xfId="4" applyNumberFormat="1" applyFill="1" applyBorder="1">
      <alignment vertical="center"/>
      <protection locked="0"/>
    </xf>
    <xf numFmtId="3" fontId="64" fillId="0" borderId="313" xfId="2" applyNumberFormat="1" applyFont="1" applyFill="1" applyBorder="1">
      <alignment vertical="center"/>
    </xf>
    <xf numFmtId="3" fontId="62" fillId="0" borderId="313" xfId="4" applyNumberFormat="1" applyFont="1" applyFill="1" applyBorder="1">
      <alignment vertical="center"/>
      <protection locked="0"/>
    </xf>
    <xf numFmtId="3" fontId="20" fillId="0" borderId="313" xfId="2" applyNumberFormat="1" applyFont="1" applyFill="1" applyBorder="1">
      <alignment vertical="center"/>
    </xf>
    <xf numFmtId="3" fontId="11" fillId="0" borderId="313" xfId="2" applyNumberFormat="1" applyFont="1" applyFill="1" applyBorder="1">
      <alignment vertical="center"/>
    </xf>
    <xf numFmtId="3" fontId="11" fillId="0" borderId="313" xfId="4" applyNumberFormat="1" applyFont="1" applyFill="1" applyBorder="1">
      <alignment vertical="center"/>
      <protection locked="0"/>
    </xf>
    <xf numFmtId="10" fontId="20" fillId="0" borderId="372" xfId="4" applyNumberFormat="1" applyFont="1" applyFill="1" applyBorder="1">
      <alignment vertical="center"/>
      <protection locked="0"/>
    </xf>
    <xf numFmtId="0" fontId="15" fillId="0" borderId="373" xfId="15" applyFont="1" applyFill="1" applyBorder="1">
      <alignment horizontal="center" vertical="center"/>
    </xf>
    <xf numFmtId="3" fontId="20" fillId="0" borderId="341" xfId="4" applyNumberFormat="1" applyFont="1" applyFill="1" applyBorder="1">
      <alignment vertical="center"/>
      <protection locked="0"/>
    </xf>
    <xf numFmtId="10" fontId="32" fillId="0" borderId="163" xfId="0" applyNumberFormat="1" applyFont="1" applyFill="1" applyBorder="1" applyAlignment="1">
      <alignment horizontal="right" vertical="center"/>
    </xf>
    <xf numFmtId="10" fontId="14" fillId="0" borderId="163" xfId="0" applyNumberFormat="1" applyFont="1" applyFill="1" applyBorder="1" applyAlignment="1">
      <alignment horizontal="right" vertical="center"/>
    </xf>
    <xf numFmtId="3" fontId="38" fillId="0" borderId="112" xfId="4" applyNumberFormat="1" applyFont="1" applyFill="1" applyBorder="1">
      <alignment vertical="center"/>
      <protection locked="0"/>
    </xf>
    <xf numFmtId="3" fontId="18" fillId="0" borderId="112" xfId="4" applyNumberFormat="1" applyFont="1" applyFill="1" applyBorder="1">
      <alignment vertical="center"/>
      <protection locked="0"/>
    </xf>
    <xf numFmtId="3" fontId="18" fillId="0" borderId="262" xfId="4" applyNumberFormat="1" applyFont="1" applyFill="1" applyBorder="1">
      <alignment vertical="center"/>
      <protection locked="0"/>
    </xf>
    <xf numFmtId="10" fontId="32" fillId="0" borderId="100" xfId="0" applyNumberFormat="1" applyFont="1" applyFill="1" applyBorder="1" applyAlignment="1">
      <alignment vertical="center"/>
    </xf>
    <xf numFmtId="10" fontId="14" fillId="0" borderId="164" xfId="0" applyNumberFormat="1" applyFont="1" applyFill="1" applyBorder="1" applyAlignment="1">
      <alignment horizontal="right" vertical="center"/>
    </xf>
    <xf numFmtId="10" fontId="32" fillId="0" borderId="166" xfId="0" applyNumberFormat="1" applyFont="1" applyFill="1" applyBorder="1" applyAlignment="1">
      <alignment horizontal="right" vertical="center"/>
    </xf>
    <xf numFmtId="0" fontId="55" fillId="0" borderId="299" xfId="15" applyFont="1" applyFill="1" applyBorder="1" applyAlignment="1">
      <alignment horizontal="center" vertical="center" wrapText="1"/>
    </xf>
    <xf numFmtId="0" fontId="32" fillId="0" borderId="375" xfId="0" applyFont="1" applyFill="1" applyBorder="1" applyAlignment="1">
      <alignment horizontal="center" vertical="center"/>
    </xf>
    <xf numFmtId="3" fontId="11" fillId="0" borderId="376" xfId="4" applyNumberFormat="1" applyFont="1" applyFill="1" applyBorder="1">
      <alignment vertical="center"/>
      <protection locked="0"/>
    </xf>
    <xf numFmtId="3" fontId="11" fillId="0" borderId="377" xfId="4" applyNumberFormat="1" applyFont="1" applyFill="1" applyBorder="1">
      <alignment vertical="center"/>
      <protection locked="0"/>
    </xf>
    <xf numFmtId="3" fontId="11" fillId="7" borderId="14" xfId="4" applyNumberFormat="1" applyFont="1" applyFill="1" applyBorder="1">
      <alignment vertical="center"/>
      <protection locked="0"/>
    </xf>
    <xf numFmtId="3" fontId="20" fillId="0" borderId="362" xfId="4" applyNumberFormat="1" applyFont="1" applyFill="1" applyBorder="1">
      <alignment vertical="center"/>
      <protection locked="0"/>
    </xf>
    <xf numFmtId="0" fontId="10" fillId="0" borderId="378" xfId="9" applyFont="1" applyFill="1" applyBorder="1" applyAlignment="1">
      <alignment vertical="center" wrapText="1"/>
    </xf>
    <xf numFmtId="0" fontId="11" fillId="0" borderId="378" xfId="9" applyFont="1" applyFill="1" applyBorder="1">
      <alignment vertical="center"/>
    </xf>
    <xf numFmtId="0" fontId="10" fillId="0" borderId="378" xfId="9" applyFont="1" applyFill="1" applyBorder="1">
      <alignment vertical="center"/>
    </xf>
    <xf numFmtId="0" fontId="14" fillId="0" borderId="0" xfId="7" applyFont="1" applyFill="1"/>
    <xf numFmtId="0" fontId="32" fillId="0" borderId="379" xfId="0" applyFont="1" applyFill="1" applyBorder="1" applyAlignment="1">
      <alignment horizontal="center" vertical="center"/>
    </xf>
    <xf numFmtId="0" fontId="10" fillId="0" borderId="380" xfId="9" applyFont="1" applyFill="1" applyBorder="1">
      <alignment vertical="center"/>
    </xf>
    <xf numFmtId="3" fontId="10" fillId="0" borderId="381" xfId="4" applyNumberFormat="1" applyFill="1" applyBorder="1">
      <alignment vertical="center"/>
      <protection locked="0"/>
    </xf>
    <xf numFmtId="10" fontId="14" fillId="0" borderId="384" xfId="0" applyNumberFormat="1" applyFont="1" applyFill="1" applyBorder="1" applyAlignment="1">
      <alignment vertical="center"/>
    </xf>
    <xf numFmtId="3" fontId="10" fillId="0" borderId="385" xfId="4" applyNumberFormat="1" applyFill="1" applyBorder="1">
      <alignment vertical="center"/>
      <protection locked="0"/>
    </xf>
    <xf numFmtId="3" fontId="10" fillId="0" borderId="386" xfId="4" applyNumberFormat="1" applyFill="1" applyBorder="1">
      <alignment vertical="center"/>
      <protection locked="0"/>
    </xf>
    <xf numFmtId="0" fontId="32" fillId="0" borderId="388" xfId="0" applyFont="1" applyFill="1" applyBorder="1" applyAlignment="1">
      <alignment horizontal="center" vertical="center"/>
    </xf>
    <xf numFmtId="3" fontId="11" fillId="0" borderId="389" xfId="4" applyNumberFormat="1" applyFont="1" applyFill="1" applyBorder="1">
      <alignment vertical="center"/>
      <protection locked="0"/>
    </xf>
    <xf numFmtId="3" fontId="11" fillId="8" borderId="14" xfId="4" applyNumberFormat="1" applyFont="1" applyFill="1" applyBorder="1">
      <alignment vertical="center"/>
      <protection locked="0"/>
    </xf>
    <xf numFmtId="3" fontId="14" fillId="8" borderId="0" xfId="0" applyNumberFormat="1" applyFont="1" applyFill="1"/>
    <xf numFmtId="3" fontId="11" fillId="0" borderId="391" xfId="4" applyNumberFormat="1" applyFont="1" applyFill="1" applyBorder="1">
      <alignment vertical="center"/>
      <protection locked="0"/>
    </xf>
    <xf numFmtId="3" fontId="11" fillId="0" borderId="392" xfId="4" applyNumberFormat="1" applyFont="1" applyFill="1" applyBorder="1">
      <alignment vertical="center"/>
      <protection locked="0"/>
    </xf>
    <xf numFmtId="3" fontId="16" fillId="0" borderId="393" xfId="2" applyNumberFormat="1" applyFont="1" applyFill="1" applyBorder="1">
      <alignment vertical="center"/>
    </xf>
    <xf numFmtId="3" fontId="11" fillId="0" borderId="390" xfId="4" applyNumberFormat="1" applyFont="1" applyFill="1" applyBorder="1">
      <alignment vertical="center"/>
      <protection locked="0"/>
    </xf>
    <xf numFmtId="3" fontId="11" fillId="0" borderId="394" xfId="4" applyNumberFormat="1" applyFont="1" applyFill="1" applyBorder="1">
      <alignment vertical="center"/>
      <protection locked="0"/>
    </xf>
    <xf numFmtId="3" fontId="33" fillId="0" borderId="395" xfId="4" applyNumberFormat="1" applyFont="1" applyFill="1" applyBorder="1">
      <alignment vertical="center"/>
      <protection locked="0"/>
    </xf>
    <xf numFmtId="3" fontId="32" fillId="0" borderId="396" xfId="0" applyNumberFormat="1" applyFont="1" applyFill="1" applyBorder="1" applyAlignment="1">
      <alignment vertical="center"/>
    </xf>
    <xf numFmtId="3" fontId="10" fillId="0" borderId="389" xfId="4" applyNumberFormat="1" applyFill="1" applyBorder="1">
      <alignment vertical="center"/>
      <protection locked="0"/>
    </xf>
    <xf numFmtId="3" fontId="20" fillId="0" borderId="317" xfId="2" applyNumberFormat="1" applyFont="1" applyFill="1" applyBorder="1">
      <alignment vertical="center"/>
    </xf>
    <xf numFmtId="3" fontId="13" fillId="0" borderId="50" xfId="4" applyNumberFormat="1" applyFont="1" applyFill="1" applyBorder="1">
      <alignment vertical="center"/>
      <protection locked="0"/>
    </xf>
    <xf numFmtId="3" fontId="54" fillId="0" borderId="389" xfId="4" applyNumberFormat="1" applyFont="1" applyFill="1" applyBorder="1">
      <alignment vertical="center"/>
      <protection locked="0"/>
    </xf>
    <xf numFmtId="3" fontId="55" fillId="0" borderId="313" xfId="2" applyNumberFormat="1" applyFont="1" applyFill="1" applyBorder="1">
      <alignment vertical="center"/>
    </xf>
    <xf numFmtId="3" fontId="10" fillId="0" borderId="313" xfId="4" applyNumberFormat="1" applyFont="1" applyFill="1" applyBorder="1">
      <alignment vertical="center"/>
      <protection locked="0"/>
    </xf>
    <xf numFmtId="3" fontId="55" fillId="0" borderId="389" xfId="4" applyNumberFormat="1" applyFont="1" applyFill="1" applyBorder="1">
      <alignment vertical="center"/>
      <protection locked="0"/>
    </xf>
    <xf numFmtId="3" fontId="55" fillId="0" borderId="313" xfId="4" applyNumberFormat="1" applyFont="1" applyFill="1" applyBorder="1">
      <alignment vertical="center"/>
      <protection locked="0"/>
    </xf>
    <xf numFmtId="3" fontId="11" fillId="0" borderId="242" xfId="4" applyNumberFormat="1" applyFont="1" applyFill="1" applyBorder="1">
      <alignment vertical="center"/>
      <protection locked="0"/>
    </xf>
    <xf numFmtId="3" fontId="11" fillId="0" borderId="240" xfId="4" applyNumberFormat="1" applyFont="1" applyFill="1" applyBorder="1">
      <alignment vertical="center"/>
      <protection locked="0"/>
    </xf>
    <xf numFmtId="3" fontId="10" fillId="0" borderId="389" xfId="4" applyNumberFormat="1" applyFont="1" applyFill="1" applyBorder="1">
      <alignment vertical="center"/>
      <protection locked="0"/>
    </xf>
    <xf numFmtId="3" fontId="18" fillId="0" borderId="319" xfId="4" applyNumberFormat="1" applyFont="1" applyFill="1" applyBorder="1">
      <alignment vertical="center"/>
      <protection locked="0"/>
    </xf>
    <xf numFmtId="3" fontId="18" fillId="0" borderId="290" xfId="4" applyNumberFormat="1" applyFont="1" applyFill="1" applyBorder="1">
      <alignment vertical="center"/>
      <protection locked="0"/>
    </xf>
    <xf numFmtId="3" fontId="15" fillId="0" borderId="397" xfId="2" applyNumberFormat="1" applyFont="1" applyFill="1" applyBorder="1">
      <alignment vertical="center"/>
    </xf>
    <xf numFmtId="10" fontId="14" fillId="0" borderId="225" xfId="2" applyNumberFormat="1" applyFont="1" applyFill="1" applyBorder="1">
      <alignment vertical="center"/>
    </xf>
    <xf numFmtId="10" fontId="32" fillId="0" borderId="399" xfId="2" applyNumberFormat="1" applyFont="1" applyFill="1" applyBorder="1">
      <alignment vertical="center"/>
    </xf>
    <xf numFmtId="3" fontId="11" fillId="0" borderId="148" xfId="2" applyNumberFormat="1" applyFont="1" applyFill="1" applyBorder="1">
      <alignment vertical="center"/>
    </xf>
    <xf numFmtId="3" fontId="11" fillId="0" borderId="320" xfId="2" applyNumberFormat="1" applyFont="1" applyFill="1" applyBorder="1">
      <alignment vertical="center"/>
    </xf>
    <xf numFmtId="3" fontId="11" fillId="0" borderId="320" xfId="4" applyNumberFormat="1" applyFont="1" applyFill="1" applyBorder="1">
      <alignment vertical="center"/>
      <protection locked="0"/>
    </xf>
    <xf numFmtId="3" fontId="16" fillId="0" borderId="313" xfId="2" applyNumberFormat="1" applyFont="1" applyFill="1" applyBorder="1">
      <alignment vertical="center"/>
    </xf>
    <xf numFmtId="3" fontId="11" fillId="0" borderId="169" xfId="2" applyNumberFormat="1" applyFont="1" applyFill="1" applyBorder="1">
      <alignment vertical="center"/>
    </xf>
    <xf numFmtId="3" fontId="20" fillId="0" borderId="290" xfId="2" applyNumberFormat="1" applyFont="1" applyFill="1" applyBorder="1">
      <alignment vertical="center"/>
    </xf>
    <xf numFmtId="3" fontId="16" fillId="0" borderId="297" xfId="2" applyNumberFormat="1" applyFont="1" applyFill="1" applyBorder="1">
      <alignment vertical="center"/>
    </xf>
    <xf numFmtId="3" fontId="16" fillId="0" borderId="336" xfId="2" applyNumberFormat="1" applyFont="1" applyFill="1" applyBorder="1">
      <alignment vertical="center"/>
    </xf>
    <xf numFmtId="3" fontId="16" fillId="0" borderId="400" xfId="2" applyNumberFormat="1" applyFont="1" applyFill="1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406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3" fontId="14" fillId="0" borderId="359" xfId="0" applyNumberFormat="1" applyFont="1" applyBorder="1" applyAlignment="1">
      <alignment vertical="center"/>
    </xf>
    <xf numFmtId="3" fontId="14" fillId="0" borderId="101" xfId="0" applyNumberFormat="1" applyFont="1" applyBorder="1" applyAlignment="1">
      <alignment vertical="center"/>
    </xf>
    <xf numFmtId="3" fontId="14" fillId="0" borderId="383" xfId="0" applyNumberFormat="1" applyFont="1" applyBorder="1" applyAlignment="1">
      <alignment vertical="center"/>
    </xf>
    <xf numFmtId="3" fontId="14" fillId="0" borderId="407" xfId="0" applyNumberFormat="1" applyFont="1" applyBorder="1" applyAlignment="1">
      <alignment vertical="center"/>
    </xf>
    <xf numFmtId="0" fontId="14" fillId="0" borderId="408" xfId="0" applyFont="1" applyBorder="1" applyAlignment="1">
      <alignment vertical="center"/>
    </xf>
    <xf numFmtId="0" fontId="14" fillId="0" borderId="207" xfId="0" applyFont="1" applyBorder="1" applyAlignment="1">
      <alignment vertical="center"/>
    </xf>
    <xf numFmtId="3" fontId="14" fillId="0" borderId="409" xfId="0" applyNumberFormat="1" applyFont="1" applyBorder="1" applyAlignment="1">
      <alignment vertical="center"/>
    </xf>
    <xf numFmtId="3" fontId="14" fillId="0" borderId="131" xfId="0" applyNumberFormat="1" applyFont="1" applyBorder="1" applyAlignment="1">
      <alignment vertical="center"/>
    </xf>
    <xf numFmtId="0" fontId="17" fillId="0" borderId="191" xfId="25" applyFont="1" applyFill="1" applyBorder="1" applyAlignment="1">
      <alignment horizontal="left" vertical="center" wrapText="1"/>
    </xf>
    <xf numFmtId="165" fontId="66" fillId="0" borderId="411" xfId="21" applyNumberFormat="1" applyFont="1" applyBorder="1" applyAlignment="1">
      <alignment horizontal="center" vertical="center"/>
    </xf>
    <xf numFmtId="0" fontId="66" fillId="0" borderId="412" xfId="0" applyFont="1" applyBorder="1" applyAlignment="1">
      <alignment horizontal="center" vertical="center" wrapText="1"/>
    </xf>
    <xf numFmtId="0" fontId="17" fillId="0" borderId="356" xfId="25" applyFont="1" applyFill="1" applyBorder="1" applyAlignment="1">
      <alignment horizontal="left" vertical="center" wrapText="1"/>
    </xf>
    <xf numFmtId="165" fontId="66" fillId="0" borderId="305" xfId="21" applyNumberFormat="1" applyFont="1" applyBorder="1" applyAlignment="1">
      <alignment horizontal="center" vertical="center"/>
    </xf>
    <xf numFmtId="0" fontId="66" fillId="0" borderId="360" xfId="0" applyFont="1" applyBorder="1" applyAlignment="1">
      <alignment horizontal="center" vertical="center" wrapText="1"/>
    </xf>
    <xf numFmtId="0" fontId="17" fillId="0" borderId="413" xfId="26" applyFont="1" applyFill="1" applyBorder="1" applyAlignment="1">
      <alignment horizontal="left" vertical="center"/>
    </xf>
    <xf numFmtId="0" fontId="70" fillId="0" borderId="193" xfId="26" applyFont="1" applyFill="1" applyBorder="1" applyAlignment="1">
      <alignment horizontal="left" vertical="center"/>
    </xf>
    <xf numFmtId="165" fontId="48" fillId="0" borderId="414" xfId="21" applyNumberFormat="1" applyFont="1" applyBorder="1" applyAlignment="1">
      <alignment horizontal="center" vertical="center"/>
    </xf>
    <xf numFmtId="0" fontId="48" fillId="0" borderId="127" xfId="0" applyFont="1" applyBorder="1" applyAlignment="1">
      <alignment horizontal="center" vertical="center"/>
    </xf>
    <xf numFmtId="0" fontId="71" fillId="0" borderId="415" xfId="26" applyFont="1" applyFill="1" applyBorder="1" applyAlignment="1">
      <alignment horizontal="left" vertical="center"/>
    </xf>
    <xf numFmtId="0" fontId="15" fillId="0" borderId="79" xfId="0" applyFont="1" applyBorder="1" applyAlignment="1">
      <alignment horizontal="center" vertical="center"/>
    </xf>
    <xf numFmtId="0" fontId="48" fillId="0" borderId="119" xfId="0" applyFont="1" applyBorder="1" applyAlignment="1">
      <alignment horizontal="center" vertical="center"/>
    </xf>
    <xf numFmtId="0" fontId="72" fillId="0" borderId="416" xfId="23" applyFont="1" applyBorder="1" applyAlignment="1">
      <alignment horizontal="center" vertical="center" wrapText="1"/>
    </xf>
    <xf numFmtId="0" fontId="72" fillId="0" borderId="417" xfId="23" applyFont="1" applyBorder="1" applyAlignment="1">
      <alignment horizontal="center" vertical="center" wrapText="1"/>
    </xf>
    <xf numFmtId="0" fontId="72" fillId="0" borderId="418" xfId="23" applyFont="1" applyBorder="1" applyAlignment="1">
      <alignment horizontal="center" vertical="center" wrapText="1"/>
    </xf>
    <xf numFmtId="0" fontId="2" fillId="0" borderId="0" xfId="27"/>
    <xf numFmtId="0" fontId="14" fillId="0" borderId="29" xfId="23" applyFont="1" applyFill="1" applyBorder="1" applyAlignment="1">
      <alignment horizontal="left" vertical="center" wrapText="1"/>
    </xf>
    <xf numFmtId="165" fontId="73" fillId="0" borderId="53" xfId="23" applyNumberFormat="1" applyFont="1" applyFill="1" applyBorder="1" applyAlignment="1">
      <alignment horizontal="center" vertical="center" wrapText="1"/>
    </xf>
    <xf numFmtId="0" fontId="14" fillId="0" borderId="0" xfId="23" applyFont="1" applyAlignment="1">
      <alignment vertical="center" wrapText="1"/>
    </xf>
    <xf numFmtId="0" fontId="14" fillId="0" borderId="0" xfId="23" applyFont="1" applyAlignment="1">
      <alignment vertical="center"/>
    </xf>
    <xf numFmtId="0" fontId="0" fillId="0" borderId="9" xfId="0" applyBorder="1"/>
    <xf numFmtId="0" fontId="19" fillId="0" borderId="212" xfId="28" applyFont="1" applyFill="1" applyBorder="1" applyAlignment="1">
      <alignment horizontal="centerContinuous" vertical="center"/>
    </xf>
    <xf numFmtId="0" fontId="19" fillId="0" borderId="80" xfId="28" applyFont="1" applyFill="1" applyBorder="1" applyAlignment="1">
      <alignment horizontal="centerContinuous" vertical="center"/>
    </xf>
    <xf numFmtId="0" fontId="0" fillId="0" borderId="80" xfId="0" applyBorder="1" applyAlignment="1">
      <alignment horizontal="centerContinuous"/>
    </xf>
    <xf numFmtId="0" fontId="0" fillId="0" borderId="80" xfId="0" applyFont="1" applyBorder="1" applyAlignment="1">
      <alignment horizontal="centerContinuous"/>
    </xf>
    <xf numFmtId="0" fontId="0" fillId="0" borderId="219" xfId="0" applyBorder="1" applyAlignment="1">
      <alignment horizontal="centerContinuous"/>
    </xf>
    <xf numFmtId="0" fontId="0" fillId="0" borderId="296" xfId="0" applyBorder="1" applyAlignment="1">
      <alignment horizontal="centerContinuous"/>
    </xf>
    <xf numFmtId="0" fontId="74" fillId="0" borderId="0" xfId="0" applyFont="1" applyBorder="1"/>
    <xf numFmtId="0" fontId="9" fillId="0" borderId="218" xfId="24" applyFill="1" applyBorder="1">
      <alignment horizontal="center" vertical="center"/>
    </xf>
    <xf numFmtId="0" fontId="17" fillId="0" borderId="420" xfId="29" applyFont="1" applyBorder="1">
      <alignment horizontal="center" vertical="center" textRotation="90" wrapText="1"/>
    </xf>
    <xf numFmtId="0" fontId="70" fillId="0" borderId="420" xfId="29" applyFont="1" applyBorder="1">
      <alignment horizontal="center" vertical="center" textRotation="90" wrapText="1"/>
    </xf>
    <xf numFmtId="0" fontId="75" fillId="0" borderId="420" xfId="29" applyFont="1" applyBorder="1">
      <alignment horizontal="center" vertical="center" textRotation="90" wrapText="1"/>
    </xf>
    <xf numFmtId="0" fontId="70" fillId="0" borderId="421" xfId="29" applyFont="1" applyBorder="1">
      <alignment horizontal="center" vertical="center" textRotation="90" wrapText="1"/>
    </xf>
    <xf numFmtId="0" fontId="70" fillId="0" borderId="422" xfId="29" applyFont="1" applyBorder="1">
      <alignment horizontal="center" vertical="center" textRotation="90" wrapText="1"/>
    </xf>
    <xf numFmtId="0" fontId="76" fillId="0" borderId="0" xfId="0" applyFont="1" applyFill="1" applyBorder="1" applyAlignment="1">
      <alignment horizontal="center"/>
    </xf>
    <xf numFmtId="0" fontId="10" fillId="0" borderId="7" xfId="25" applyFont="1" applyFill="1" applyBorder="1">
      <alignment horizontal="left" vertical="center" wrapText="1"/>
    </xf>
    <xf numFmtId="3" fontId="10" fillId="0" borderId="423" xfId="30" applyNumberFormat="1" applyBorder="1">
      <alignment vertical="center"/>
      <protection locked="0"/>
    </xf>
    <xf numFmtId="3" fontId="10" fillId="0" borderId="424" xfId="30" applyNumberFormat="1" applyBorder="1">
      <alignment vertical="center"/>
      <protection locked="0"/>
    </xf>
    <xf numFmtId="3" fontId="10" fillId="0" borderId="313" xfId="30" applyNumberFormat="1" applyBorder="1">
      <alignment vertical="center"/>
      <protection locked="0"/>
    </xf>
    <xf numFmtId="3" fontId="38" fillId="0" borderId="313" xfId="30" applyNumberFormat="1" applyFont="1" applyBorder="1">
      <alignment vertical="center"/>
      <protection locked="0"/>
    </xf>
    <xf numFmtId="3" fontId="33" fillId="0" borderId="425" xfId="31" applyNumberFormat="1" applyFont="1" applyFill="1" applyBorder="1">
      <alignment vertical="center"/>
    </xf>
    <xf numFmtId="3" fontId="33" fillId="0" borderId="74" xfId="31" applyNumberFormat="1" applyFont="1" applyFill="1" applyBorder="1">
      <alignment vertical="center"/>
    </xf>
    <xf numFmtId="3" fontId="10" fillId="0" borderId="314" xfId="30" applyNumberFormat="1" applyBorder="1">
      <alignment vertical="center"/>
      <protection locked="0"/>
    </xf>
    <xf numFmtId="3" fontId="10" fillId="0" borderId="312" xfId="30" applyNumberFormat="1" applyBorder="1">
      <alignment vertical="center"/>
      <protection locked="0"/>
    </xf>
    <xf numFmtId="3" fontId="33" fillId="0" borderId="290" xfId="31" applyNumberFormat="1" applyFont="1" applyFill="1" applyBorder="1">
      <alignment vertical="center"/>
    </xf>
    <xf numFmtId="3" fontId="33" fillId="0" borderId="426" xfId="31" applyNumberFormat="1" applyFont="1" applyFill="1" applyBorder="1">
      <alignment vertical="center"/>
    </xf>
    <xf numFmtId="0" fontId="10" fillId="0" borderId="7" xfId="26" applyFont="1" applyFill="1" applyBorder="1" applyAlignment="1">
      <alignment vertical="center" wrapText="1"/>
    </xf>
    <xf numFmtId="3" fontId="10" fillId="0" borderId="328" xfId="30" applyNumberFormat="1" applyBorder="1">
      <alignment vertical="center"/>
      <protection locked="0"/>
    </xf>
    <xf numFmtId="0" fontId="10" fillId="0" borderId="7" xfId="26" applyFont="1" applyFill="1" applyBorder="1">
      <alignment vertical="center"/>
    </xf>
    <xf numFmtId="3" fontId="10" fillId="0" borderId="329" xfId="30" applyNumberFormat="1" applyBorder="1">
      <alignment vertical="center"/>
      <protection locked="0"/>
    </xf>
    <xf numFmtId="3" fontId="10" fillId="0" borderId="316" xfId="30" applyNumberFormat="1" applyBorder="1">
      <alignment vertical="center"/>
      <protection locked="0"/>
    </xf>
    <xf numFmtId="3" fontId="33" fillId="0" borderId="320" xfId="31" applyNumberFormat="1" applyFont="1" applyFill="1" applyBorder="1">
      <alignment vertical="center"/>
    </xf>
    <xf numFmtId="0" fontId="9" fillId="0" borderId="197" xfId="32" applyFont="1" applyFill="1" applyBorder="1">
      <alignment horizontal="left" vertical="center"/>
    </xf>
    <xf numFmtId="3" fontId="11" fillId="0" borderId="89" xfId="31" applyNumberFormat="1" applyFill="1" applyBorder="1">
      <alignment vertical="center"/>
    </xf>
    <xf numFmtId="3" fontId="33" fillId="0" borderId="89" xfId="31" applyNumberFormat="1" applyFont="1" applyFill="1" applyBorder="1">
      <alignment vertical="center"/>
    </xf>
    <xf numFmtId="3" fontId="33" fillId="0" borderId="90" xfId="31" applyNumberFormat="1" applyFont="1" applyFill="1" applyBorder="1">
      <alignment vertical="center"/>
    </xf>
    <xf numFmtId="3" fontId="11" fillId="0" borderId="427" xfId="31" applyNumberFormat="1" applyFill="1" applyBorder="1">
      <alignment vertical="center"/>
    </xf>
    <xf numFmtId="3" fontId="33" fillId="0" borderId="428" xfId="31" applyNumberFormat="1" applyFont="1" applyFill="1" applyBorder="1">
      <alignment vertical="center"/>
    </xf>
    <xf numFmtId="0" fontId="0" fillId="0" borderId="0" xfId="0" applyFont="1"/>
    <xf numFmtId="3" fontId="9" fillId="0" borderId="431" xfId="33" applyNumberFormat="1" applyFont="1" applyFill="1" applyBorder="1" applyAlignment="1">
      <alignment horizontal="centerContinuous" vertical="center"/>
    </xf>
    <xf numFmtId="3" fontId="9" fillId="0" borderId="432" xfId="33" applyNumberFormat="1" applyFill="1" applyBorder="1" applyAlignment="1">
      <alignment horizontal="centerContinuous" vertical="center"/>
    </xf>
    <xf numFmtId="3" fontId="9" fillId="0" borderId="430" xfId="33" applyNumberFormat="1" applyFill="1" applyBorder="1" applyAlignment="1">
      <alignment horizontal="centerContinuous" vertical="center"/>
    </xf>
    <xf numFmtId="0" fontId="2" fillId="0" borderId="0" xfId="34"/>
    <xf numFmtId="3" fontId="9" fillId="0" borderId="105" xfId="33" applyNumberFormat="1" applyFont="1" applyFill="1" applyBorder="1" applyAlignment="1">
      <alignment horizontal="center" vertical="center" wrapText="1"/>
    </xf>
    <xf numFmtId="3" fontId="9" fillId="0" borderId="297" xfId="33" applyNumberFormat="1" applyFont="1" applyFill="1" applyBorder="1" applyAlignment="1">
      <alignment horizontal="center" vertical="center" wrapText="1"/>
    </xf>
    <xf numFmtId="3" fontId="9" fillId="0" borderId="336" xfId="33" applyNumberFormat="1" applyFont="1" applyFill="1" applyBorder="1" applyAlignment="1">
      <alignment horizontal="center" vertical="center" wrapText="1"/>
    </xf>
    <xf numFmtId="3" fontId="9" fillId="0" borderId="339" xfId="33" applyNumberFormat="1" applyFont="1" applyFill="1" applyBorder="1" applyAlignment="1">
      <alignment horizontal="center" vertical="center" wrapText="1"/>
    </xf>
    <xf numFmtId="0" fontId="38" fillId="0" borderId="444" xfId="35" applyFont="1" applyFill="1" applyBorder="1" applyAlignment="1">
      <alignment horizontal="center" vertical="center"/>
    </xf>
    <xf numFmtId="0" fontId="38" fillId="0" borderId="148" xfId="35" applyFont="1" applyFill="1" applyBorder="1">
      <alignment vertical="center"/>
    </xf>
    <xf numFmtId="3" fontId="38" fillId="0" borderId="322" xfId="36" applyNumberFormat="1" applyFont="1" applyFill="1" applyBorder="1" applyAlignment="1">
      <alignment horizontal="right" vertical="center"/>
      <protection locked="0"/>
    </xf>
    <xf numFmtId="3" fontId="38" fillId="0" borderId="323" xfId="36" applyNumberFormat="1" applyFont="1" applyFill="1" applyBorder="1" applyAlignment="1">
      <alignment horizontal="right" vertical="center"/>
      <protection locked="0"/>
    </xf>
    <xf numFmtId="0" fontId="38" fillId="0" borderId="148" xfId="35" applyFont="1" applyFill="1" applyBorder="1" applyAlignment="1">
      <alignment horizontal="right" vertical="center"/>
    </xf>
    <xf numFmtId="0" fontId="38" fillId="0" borderId="110" xfId="35" applyFont="1" applyFill="1" applyBorder="1" applyAlignment="1">
      <alignment horizontal="right" vertical="center"/>
    </xf>
    <xf numFmtId="3" fontId="33" fillId="0" borderId="148" xfId="37" applyNumberFormat="1" applyFont="1" applyFill="1" applyBorder="1" applyAlignment="1">
      <alignment horizontal="right" vertical="center"/>
    </xf>
    <xf numFmtId="3" fontId="38" fillId="0" borderId="445" xfId="36" applyNumberFormat="1" applyFont="1" applyFill="1" applyBorder="1" applyAlignment="1">
      <alignment horizontal="right" vertical="center"/>
      <protection locked="0"/>
    </xf>
    <xf numFmtId="0" fontId="10" fillId="0" borderId="446" xfId="35" applyFont="1" applyFill="1" applyBorder="1" applyAlignment="1">
      <alignment horizontal="center" vertical="center"/>
    </xf>
    <xf numFmtId="0" fontId="10" fillId="0" borderId="290" xfId="35" applyFont="1" applyFill="1" applyBorder="1">
      <alignment vertical="center"/>
    </xf>
    <xf numFmtId="3" fontId="18" fillId="0" borderId="314" xfId="36" applyNumberFormat="1" applyFont="1" applyFill="1" applyBorder="1" applyAlignment="1">
      <alignment horizontal="right" vertical="center"/>
      <protection locked="0"/>
    </xf>
    <xf numFmtId="3" fontId="18" fillId="0" borderId="312" xfId="36" applyNumberFormat="1" applyFont="1" applyFill="1" applyBorder="1" applyAlignment="1">
      <alignment horizontal="right" vertical="center"/>
      <protection locked="0"/>
    </xf>
    <xf numFmtId="3" fontId="18" fillId="0" borderId="290" xfId="35" applyNumberFormat="1" applyFont="1" applyFill="1" applyBorder="1" applyAlignment="1">
      <alignment horizontal="right" vertical="center"/>
    </xf>
    <xf numFmtId="0" fontId="10" fillId="0" borderId="345" xfId="35" applyFont="1" applyFill="1" applyBorder="1" applyAlignment="1">
      <alignment horizontal="right" vertical="center"/>
    </xf>
    <xf numFmtId="3" fontId="11" fillId="0" borderId="290" xfId="37" applyNumberFormat="1" applyFont="1" applyFill="1" applyBorder="1" applyAlignment="1">
      <alignment horizontal="right" vertical="center"/>
    </xf>
    <xf numFmtId="3" fontId="20" fillId="0" borderId="314" xfId="36" applyNumberFormat="1" applyFont="1" applyFill="1" applyBorder="1" applyAlignment="1">
      <alignment horizontal="right" vertical="center"/>
      <protection locked="0"/>
    </xf>
    <xf numFmtId="3" fontId="38" fillId="0" borderId="180" xfId="36" applyNumberFormat="1" applyFont="1" applyFill="1" applyBorder="1" applyAlignment="1">
      <alignment horizontal="right" vertical="center"/>
      <protection locked="0"/>
    </xf>
    <xf numFmtId="3" fontId="10" fillId="0" borderId="290" xfId="35" applyNumberFormat="1" applyFont="1" applyFill="1" applyBorder="1" applyAlignment="1">
      <alignment horizontal="right" vertical="center"/>
    </xf>
    <xf numFmtId="3" fontId="18" fillId="0" borderId="180" xfId="36" applyNumberFormat="1" applyFont="1" applyFill="1" applyBorder="1" applyAlignment="1">
      <alignment horizontal="right" vertical="center"/>
      <protection locked="0"/>
    </xf>
    <xf numFmtId="3" fontId="38" fillId="0" borderId="314" xfId="36" applyNumberFormat="1" applyFont="1" applyFill="1" applyBorder="1" applyAlignment="1">
      <alignment horizontal="right" vertical="center"/>
      <protection locked="0"/>
    </xf>
    <xf numFmtId="0" fontId="38" fillId="0" borderId="446" xfId="35" applyFont="1" applyFill="1" applyBorder="1" applyAlignment="1">
      <alignment horizontal="center" vertical="center"/>
    </xf>
    <xf numFmtId="0" fontId="38" fillId="0" borderId="290" xfId="35" applyFont="1" applyFill="1" applyBorder="1">
      <alignment vertical="center"/>
    </xf>
    <xf numFmtId="3" fontId="38" fillId="0" borderId="314" xfId="35" applyNumberFormat="1" applyFont="1" applyFill="1" applyBorder="1" applyAlignment="1">
      <alignment horizontal="right" vertical="center"/>
    </xf>
    <xf numFmtId="3" fontId="38" fillId="0" borderId="312" xfId="35" applyNumberFormat="1" applyFont="1" applyFill="1" applyBorder="1" applyAlignment="1">
      <alignment horizontal="right" vertical="center"/>
    </xf>
    <xf numFmtId="3" fontId="38" fillId="0" borderId="290" xfId="35" applyNumberFormat="1" applyFont="1" applyFill="1" applyBorder="1" applyAlignment="1">
      <alignment horizontal="right" vertical="center"/>
    </xf>
    <xf numFmtId="0" fontId="38" fillId="0" borderId="345" xfId="35" applyFont="1" applyFill="1" applyBorder="1" applyAlignment="1">
      <alignment horizontal="right" vertical="center"/>
    </xf>
    <xf numFmtId="3" fontId="38" fillId="0" borderId="312" xfId="36" applyNumberFormat="1" applyFont="1" applyFill="1" applyBorder="1" applyAlignment="1">
      <alignment horizontal="right" vertical="center"/>
      <protection locked="0"/>
    </xf>
    <xf numFmtId="3" fontId="33" fillId="0" borderId="290" xfId="37" applyNumberFormat="1" applyFont="1" applyFill="1" applyBorder="1" applyAlignment="1">
      <alignment horizontal="right" vertical="center"/>
    </xf>
    <xf numFmtId="3" fontId="38" fillId="0" borderId="290" xfId="36" applyNumberFormat="1" applyFont="1" applyFill="1" applyBorder="1" applyAlignment="1">
      <alignment horizontal="right" vertical="center"/>
      <protection locked="0"/>
    </xf>
    <xf numFmtId="3" fontId="38" fillId="0" borderId="345" xfId="36" applyNumberFormat="1" applyFont="1" applyFill="1" applyBorder="1" applyAlignment="1">
      <alignment horizontal="right" vertical="center"/>
      <protection locked="0"/>
    </xf>
    <xf numFmtId="3" fontId="10" fillId="0" borderId="289" xfId="35" applyNumberFormat="1" applyFont="1" applyFill="1" applyBorder="1" applyAlignment="1">
      <alignment horizontal="right" vertical="center"/>
    </xf>
    <xf numFmtId="3" fontId="10" fillId="0" borderId="312" xfId="35" applyNumberFormat="1" applyFont="1" applyFill="1" applyBorder="1" applyAlignment="1">
      <alignment horizontal="right" vertical="center"/>
    </xf>
    <xf numFmtId="3" fontId="10" fillId="0" borderId="314" xfId="36" applyNumberFormat="1" applyFont="1" applyFill="1" applyBorder="1" applyAlignment="1">
      <alignment horizontal="right" vertical="center"/>
      <protection locked="0"/>
    </xf>
    <xf numFmtId="3" fontId="11" fillId="0" borderId="328" xfId="37" applyNumberFormat="1" applyFont="1" applyFill="1" applyBorder="1" applyAlignment="1">
      <alignment horizontal="right" vertical="center"/>
    </xf>
    <xf numFmtId="0" fontId="2" fillId="0" borderId="447" xfId="34" applyBorder="1"/>
    <xf numFmtId="0" fontId="2" fillId="0" borderId="448" xfId="34" applyBorder="1"/>
    <xf numFmtId="0" fontId="13" fillId="0" borderId="446" xfId="35" applyFont="1" applyFill="1" applyBorder="1" applyAlignment="1">
      <alignment horizontal="center" vertical="center"/>
    </xf>
    <xf numFmtId="0" fontId="13" fillId="0" borderId="290" xfId="35" applyFont="1" applyFill="1" applyBorder="1">
      <alignment vertical="center"/>
    </xf>
    <xf numFmtId="3" fontId="13" fillId="0" borderId="289" xfId="35" applyNumberFormat="1" applyFont="1" applyFill="1" applyBorder="1" applyAlignment="1">
      <alignment horizontal="right" vertical="center"/>
    </xf>
    <xf numFmtId="3" fontId="13" fillId="0" borderId="312" xfId="35" applyNumberFormat="1" applyFont="1" applyFill="1" applyBorder="1" applyAlignment="1">
      <alignment horizontal="right" vertical="center"/>
    </xf>
    <xf numFmtId="3" fontId="38" fillId="0" borderId="289" xfId="35" applyNumberFormat="1" applyFont="1" applyFill="1" applyBorder="1" applyAlignment="1">
      <alignment horizontal="right" vertical="center"/>
    </xf>
    <xf numFmtId="0" fontId="13" fillId="0" borderId="345" xfId="35" applyFont="1" applyFill="1" applyBorder="1" applyAlignment="1">
      <alignment horizontal="right" vertical="center"/>
    </xf>
    <xf numFmtId="3" fontId="13" fillId="0" borderId="314" xfId="35" applyNumberFormat="1" applyFont="1" applyFill="1" applyBorder="1" applyAlignment="1">
      <alignment horizontal="right" vertical="center"/>
    </xf>
    <xf numFmtId="3" fontId="16" fillId="0" borderId="290" xfId="37" applyNumberFormat="1" applyFont="1" applyFill="1" applyBorder="1" applyAlignment="1">
      <alignment horizontal="right" vertical="center"/>
    </xf>
    <xf numFmtId="3" fontId="16" fillId="0" borderId="314" xfId="37" applyNumberFormat="1" applyFont="1" applyFill="1" applyBorder="1" applyAlignment="1">
      <alignment horizontal="right" vertical="center"/>
    </xf>
    <xf numFmtId="3" fontId="16" fillId="0" borderId="345" xfId="37" applyNumberFormat="1" applyFont="1" applyFill="1" applyBorder="1" applyAlignment="1">
      <alignment horizontal="right" vertical="center"/>
    </xf>
    <xf numFmtId="3" fontId="16" fillId="0" borderId="180" xfId="37" applyNumberFormat="1" applyFont="1" applyFill="1" applyBorder="1" applyAlignment="1">
      <alignment horizontal="right" vertical="center"/>
    </xf>
    <xf numFmtId="0" fontId="74" fillId="0" borderId="0" xfId="34" applyFont="1"/>
    <xf numFmtId="0" fontId="13" fillId="0" borderId="449" xfId="35" applyFont="1" applyFill="1" applyBorder="1" applyAlignment="1">
      <alignment horizontal="center" vertical="center"/>
    </xf>
    <xf numFmtId="0" fontId="13" fillId="0" borderId="336" xfId="35" applyFont="1" applyFill="1" applyBorder="1">
      <alignment vertical="center"/>
    </xf>
    <xf numFmtId="3" fontId="13" fillId="0" borderId="105" xfId="35" applyNumberFormat="1" applyFont="1" applyFill="1" applyBorder="1" applyAlignment="1">
      <alignment horizontal="right" vertical="center"/>
    </xf>
    <xf numFmtId="3" fontId="13" fillId="0" borderId="335" xfId="35" applyNumberFormat="1" applyFont="1" applyFill="1" applyBorder="1" applyAlignment="1">
      <alignment horizontal="right" vertical="center"/>
    </xf>
    <xf numFmtId="0" fontId="13" fillId="0" borderId="298" xfId="35" applyFont="1" applyFill="1" applyBorder="1" applyAlignment="1">
      <alignment horizontal="right" vertical="center"/>
    </xf>
    <xf numFmtId="3" fontId="38" fillId="0" borderId="334" xfId="36" applyNumberFormat="1" applyFont="1" applyFill="1" applyBorder="1" applyAlignment="1">
      <alignment horizontal="right" vertical="center"/>
      <protection locked="0"/>
    </xf>
    <xf numFmtId="3" fontId="38" fillId="0" borderId="335" xfId="36" applyNumberFormat="1" applyFont="1" applyFill="1" applyBorder="1" applyAlignment="1">
      <alignment horizontal="right" vertical="center"/>
      <protection locked="0"/>
    </xf>
    <xf numFmtId="3" fontId="16" fillId="0" borderId="336" xfId="37" applyNumberFormat="1" applyFont="1" applyFill="1" applyBorder="1" applyAlignment="1">
      <alignment horizontal="right" vertical="center"/>
    </xf>
    <xf numFmtId="3" fontId="13" fillId="0" borderId="334" xfId="36" applyNumberFormat="1" applyFont="1" applyFill="1" applyBorder="1" applyAlignment="1">
      <alignment horizontal="right" vertical="center"/>
      <protection locked="0"/>
    </xf>
    <xf numFmtId="3" fontId="16" fillId="0" borderId="297" xfId="37" applyNumberFormat="1" applyFont="1" applyFill="1" applyBorder="1" applyAlignment="1">
      <alignment horizontal="right" vertical="center"/>
    </xf>
    <xf numFmtId="0" fontId="74" fillId="0" borderId="450" xfId="34" applyFont="1" applyBorder="1"/>
    <xf numFmtId="0" fontId="74" fillId="0" borderId="451" xfId="34" applyFont="1" applyBorder="1"/>
    <xf numFmtId="0" fontId="9" fillId="5" borderId="452" xfId="33" applyFont="1" applyFill="1" applyBorder="1" applyAlignment="1">
      <alignment horizontal="center" vertical="center"/>
    </xf>
    <xf numFmtId="0" fontId="9" fillId="5" borderId="453" xfId="33" applyFont="1" applyFill="1" applyBorder="1" applyAlignment="1">
      <alignment horizontal="left" vertical="center" wrapText="1"/>
    </xf>
    <xf numFmtId="3" fontId="13" fillId="5" borderId="454" xfId="33" applyNumberFormat="1" applyFont="1" applyFill="1" applyBorder="1" applyAlignment="1">
      <alignment horizontal="right" vertical="center" wrapText="1"/>
    </xf>
    <xf numFmtId="3" fontId="13" fillId="5" borderId="455" xfId="33" applyNumberFormat="1" applyFont="1" applyFill="1" applyBorder="1" applyAlignment="1">
      <alignment horizontal="right" vertical="center" wrapText="1"/>
    </xf>
    <xf numFmtId="3" fontId="13" fillId="5" borderId="453" xfId="33" applyNumberFormat="1" applyFont="1" applyFill="1" applyBorder="1" applyAlignment="1">
      <alignment horizontal="right" vertical="center" wrapText="1"/>
    </xf>
    <xf numFmtId="0" fontId="13" fillId="5" borderId="456" xfId="33" applyFont="1" applyFill="1" applyBorder="1" applyAlignment="1">
      <alignment horizontal="right" vertical="center" wrapText="1"/>
    </xf>
    <xf numFmtId="3" fontId="16" fillId="5" borderId="454" xfId="37" applyNumberFormat="1" applyFont="1" applyFill="1" applyBorder="1" applyAlignment="1">
      <alignment horizontal="right" vertical="center"/>
    </xf>
    <xf numFmtId="3" fontId="16" fillId="5" borderId="455" xfId="37" applyNumberFormat="1" applyFont="1" applyFill="1" applyBorder="1" applyAlignment="1">
      <alignment horizontal="right" vertical="center"/>
    </xf>
    <xf numFmtId="3" fontId="16" fillId="5" borderId="453" xfId="37" applyNumberFormat="1" applyFont="1" applyFill="1" applyBorder="1" applyAlignment="1">
      <alignment horizontal="right" vertical="center"/>
    </xf>
    <xf numFmtId="3" fontId="16" fillId="5" borderId="457" xfId="37" applyNumberFormat="1" applyFont="1" applyFill="1" applyBorder="1" applyAlignment="1">
      <alignment horizontal="right" vertical="center"/>
    </xf>
    <xf numFmtId="3" fontId="16" fillId="5" borderId="456" xfId="37" applyNumberFormat="1" applyFont="1" applyFill="1" applyBorder="1" applyAlignment="1">
      <alignment horizontal="right" vertical="center"/>
    </xf>
    <xf numFmtId="3" fontId="16" fillId="5" borderId="458" xfId="37" applyNumberFormat="1" applyFont="1" applyFill="1" applyBorder="1" applyAlignment="1">
      <alignment horizontal="right" vertical="center"/>
    </xf>
    <xf numFmtId="0" fontId="4" fillId="0" borderId="0" xfId="34" applyFont="1"/>
    <xf numFmtId="0" fontId="13" fillId="0" borderId="459" xfId="35" applyFont="1" applyFill="1" applyBorder="1" applyAlignment="1">
      <alignment horizontal="center" vertical="center"/>
    </xf>
    <xf numFmtId="0" fontId="13" fillId="0" borderId="320" xfId="35" applyFont="1" applyFill="1" applyBorder="1">
      <alignment vertical="center"/>
    </xf>
    <xf numFmtId="0" fontId="13" fillId="0" borderId="322" xfId="33" applyFont="1" applyFill="1" applyBorder="1" applyAlignment="1">
      <alignment horizontal="right" vertical="center" wrapText="1"/>
    </xf>
    <xf numFmtId="0" fontId="13" fillId="0" borderId="323" xfId="33" applyFont="1" applyFill="1" applyBorder="1" applyAlignment="1">
      <alignment horizontal="right" vertical="center" wrapText="1"/>
    </xf>
    <xf numFmtId="0" fontId="13" fillId="0" borderId="148" xfId="33" applyFont="1" applyFill="1" applyBorder="1" applyAlignment="1">
      <alignment horizontal="right" vertical="center" wrapText="1"/>
    </xf>
    <xf numFmtId="0" fontId="13" fillId="0" borderId="264" xfId="33" applyFont="1" applyFill="1" applyBorder="1" applyAlignment="1">
      <alignment horizontal="right" vertical="center" wrapText="1"/>
    </xf>
    <xf numFmtId="3" fontId="16" fillId="0" borderId="323" xfId="37" applyNumberFormat="1" applyFont="1" applyFill="1" applyBorder="1" applyAlignment="1">
      <alignment horizontal="right" vertical="center"/>
    </xf>
    <xf numFmtId="3" fontId="16" fillId="0" borderId="148" xfId="37" applyNumberFormat="1" applyFont="1" applyFill="1" applyBorder="1" applyAlignment="1">
      <alignment horizontal="right" vertical="center"/>
    </xf>
    <xf numFmtId="3" fontId="16" fillId="0" borderId="460" xfId="37" applyNumberFormat="1" applyFont="1" applyFill="1" applyBorder="1" applyAlignment="1">
      <alignment horizontal="right" vertical="center"/>
    </xf>
    <xf numFmtId="0" fontId="4" fillId="0" borderId="461" xfId="34" applyFont="1" applyBorder="1"/>
    <xf numFmtId="0" fontId="4" fillId="0" borderId="462" xfId="34" applyFont="1" applyBorder="1"/>
    <xf numFmtId="0" fontId="13" fillId="0" borderId="270" xfId="35" applyFont="1" applyFill="1" applyBorder="1" applyAlignment="1">
      <alignment horizontal="right" vertical="center"/>
    </xf>
    <xf numFmtId="0" fontId="13" fillId="0" borderId="316" xfId="35" applyFont="1" applyFill="1" applyBorder="1" applyAlignment="1">
      <alignment horizontal="right" vertical="center"/>
    </xf>
    <xf numFmtId="0" fontId="13" fillId="0" borderId="271" xfId="35" applyFont="1" applyFill="1" applyBorder="1" applyAlignment="1">
      <alignment horizontal="right" vertical="center"/>
    </xf>
    <xf numFmtId="3" fontId="16" fillId="0" borderId="335" xfId="37" applyNumberFormat="1" applyFont="1" applyFill="1" applyBorder="1" applyAlignment="1">
      <alignment horizontal="right" vertical="center"/>
    </xf>
    <xf numFmtId="3" fontId="16" fillId="0" borderId="463" xfId="37" applyNumberFormat="1" applyFont="1" applyFill="1" applyBorder="1" applyAlignment="1">
      <alignment horizontal="right" vertical="center"/>
    </xf>
    <xf numFmtId="0" fontId="74" fillId="0" borderId="442" xfId="34" applyFont="1" applyBorder="1"/>
    <xf numFmtId="0" fontId="74" fillId="0" borderId="443" xfId="34" applyFont="1" applyBorder="1"/>
    <xf numFmtId="0" fontId="13" fillId="5" borderId="454" xfId="33" applyFont="1" applyFill="1" applyBorder="1" applyAlignment="1">
      <alignment horizontal="right" vertical="center" wrapText="1"/>
    </xf>
    <xf numFmtId="0" fontId="13" fillId="5" borderId="455" xfId="33" applyFont="1" applyFill="1" applyBorder="1" applyAlignment="1">
      <alignment horizontal="right" vertical="center" wrapText="1"/>
    </xf>
    <xf numFmtId="0" fontId="13" fillId="5" borderId="453" xfId="33" applyFont="1" applyFill="1" applyBorder="1" applyAlignment="1">
      <alignment horizontal="right" vertical="center" wrapText="1"/>
    </xf>
    <xf numFmtId="0" fontId="13" fillId="5" borderId="464" xfId="33" applyFont="1" applyFill="1" applyBorder="1" applyAlignment="1">
      <alignment horizontal="right" vertical="center" wrapText="1"/>
    </xf>
    <xf numFmtId="3" fontId="13" fillId="5" borderId="457" xfId="33" applyNumberFormat="1" applyFont="1" applyFill="1" applyBorder="1" applyAlignment="1">
      <alignment horizontal="right" vertical="center" wrapText="1"/>
    </xf>
    <xf numFmtId="3" fontId="13" fillId="5" borderId="456" xfId="33" applyNumberFormat="1" applyFont="1" applyFill="1" applyBorder="1" applyAlignment="1">
      <alignment horizontal="right" vertical="center" wrapText="1"/>
    </xf>
    <xf numFmtId="3" fontId="13" fillId="5" borderId="458" xfId="33" applyNumberFormat="1" applyFont="1" applyFill="1" applyBorder="1" applyAlignment="1">
      <alignment horizontal="right" vertical="center" wrapText="1"/>
    </xf>
    <xf numFmtId="3" fontId="13" fillId="0" borderId="270" xfId="35" applyNumberFormat="1" applyFont="1" applyFill="1" applyBorder="1" applyAlignment="1">
      <alignment horizontal="right" vertical="center"/>
    </xf>
    <xf numFmtId="3" fontId="13" fillId="0" borderId="316" xfId="35" applyNumberFormat="1" applyFont="1" applyFill="1" applyBorder="1" applyAlignment="1">
      <alignment horizontal="right" vertical="center"/>
    </xf>
    <xf numFmtId="3" fontId="13" fillId="0" borderId="271" xfId="35" applyNumberFormat="1" applyFont="1" applyFill="1" applyBorder="1" applyAlignment="1">
      <alignment horizontal="right" vertical="center"/>
    </xf>
    <xf numFmtId="3" fontId="13" fillId="0" borderId="329" xfId="36" applyNumberFormat="1" applyFont="1" applyFill="1" applyBorder="1" applyAlignment="1">
      <alignment horizontal="right" vertical="center"/>
      <protection locked="0"/>
    </xf>
    <xf numFmtId="3" fontId="16" fillId="0" borderId="316" xfId="37" applyNumberFormat="1" applyFont="1" applyFill="1" applyBorder="1" applyAlignment="1">
      <alignment horizontal="right" vertical="center"/>
    </xf>
    <xf numFmtId="3" fontId="16" fillId="0" borderId="320" xfId="37" applyNumberFormat="1" applyFont="1" applyFill="1" applyBorder="1" applyAlignment="1">
      <alignment horizontal="right" vertical="center"/>
    </xf>
    <xf numFmtId="3" fontId="13" fillId="0" borderId="314" xfId="36" applyNumberFormat="1" applyFont="1" applyFill="1" applyBorder="1" applyAlignment="1">
      <alignment horizontal="right" vertical="center"/>
      <protection locked="0"/>
    </xf>
    <xf numFmtId="3" fontId="16" fillId="0" borderId="328" xfId="37" applyNumberFormat="1" applyFont="1" applyFill="1" applyBorder="1" applyAlignment="1">
      <alignment horizontal="right" vertical="center"/>
    </xf>
    <xf numFmtId="0" fontId="74" fillId="0" borderId="461" xfId="34" applyFont="1" applyBorder="1"/>
    <xf numFmtId="0" fontId="74" fillId="0" borderId="462" xfId="34" applyFont="1" applyBorder="1"/>
    <xf numFmtId="3" fontId="16" fillId="0" borderId="312" xfId="37" applyNumberFormat="1" applyFont="1" applyFill="1" applyBorder="1" applyAlignment="1">
      <alignment horizontal="right" vertical="center"/>
    </xf>
    <xf numFmtId="0" fontId="74" fillId="0" borderId="465" xfId="34" applyFont="1" applyBorder="1"/>
    <xf numFmtId="0" fontId="74" fillId="0" borderId="466" xfId="34" applyFont="1" applyBorder="1"/>
    <xf numFmtId="0" fontId="9" fillId="5" borderId="467" xfId="33" applyFont="1" applyFill="1" applyBorder="1" applyAlignment="1">
      <alignment horizontal="center" vertical="center"/>
    </xf>
    <xf numFmtId="0" fontId="9" fillId="5" borderId="336" xfId="33" applyFont="1" applyFill="1" applyBorder="1" applyAlignment="1">
      <alignment horizontal="left" vertical="center" wrapText="1"/>
    </xf>
    <xf numFmtId="3" fontId="72" fillId="5" borderId="334" xfId="34" applyNumberFormat="1" applyFont="1" applyFill="1" applyBorder="1" applyAlignment="1">
      <alignment horizontal="right" vertical="center"/>
    </xf>
    <xf numFmtId="3" fontId="72" fillId="5" borderId="335" xfId="34" applyNumberFormat="1" applyFont="1" applyFill="1" applyBorder="1" applyAlignment="1">
      <alignment horizontal="right" vertical="center"/>
    </xf>
    <xf numFmtId="3" fontId="72" fillId="5" borderId="336" xfId="34" applyNumberFormat="1" applyFont="1" applyFill="1" applyBorder="1" applyAlignment="1">
      <alignment horizontal="right" vertical="center"/>
    </xf>
    <xf numFmtId="3" fontId="72" fillId="5" borderId="298" xfId="34" applyNumberFormat="1" applyFont="1" applyFill="1" applyBorder="1" applyAlignment="1">
      <alignment horizontal="right" vertical="center"/>
    </xf>
    <xf numFmtId="3" fontId="38" fillId="5" borderId="334" xfId="36" applyNumberFormat="1" applyFont="1" applyFill="1" applyBorder="1" applyAlignment="1">
      <alignment horizontal="right" vertical="center"/>
      <protection locked="0"/>
    </xf>
    <xf numFmtId="3" fontId="72" fillId="5" borderId="297" xfId="34" applyNumberFormat="1" applyFont="1" applyFill="1" applyBorder="1" applyAlignment="1">
      <alignment horizontal="right" vertical="center"/>
    </xf>
    <xf numFmtId="3" fontId="72" fillId="5" borderId="468" xfId="34" applyNumberFormat="1" applyFont="1" applyFill="1" applyBorder="1" applyAlignment="1">
      <alignment horizontal="right" vertical="center"/>
    </xf>
    <xf numFmtId="3" fontId="72" fillId="5" borderId="469" xfId="34" applyNumberFormat="1" applyFont="1" applyFill="1" applyBorder="1" applyAlignment="1">
      <alignment horizontal="right" vertical="center"/>
    </xf>
    <xf numFmtId="0" fontId="78" fillId="0" borderId="470" xfId="34" applyFont="1" applyBorder="1" applyAlignment="1">
      <alignment horizontal="center"/>
    </xf>
    <xf numFmtId="0" fontId="9" fillId="0" borderId="471" xfId="33" applyFont="1" applyFill="1" applyBorder="1" applyAlignment="1">
      <alignment horizontal="left" vertical="center" wrapText="1"/>
    </xf>
    <xf numFmtId="3" fontId="79" fillId="0" borderId="472" xfId="34" applyNumberFormat="1" applyFont="1" applyBorder="1" applyAlignment="1">
      <alignment horizontal="right" vertical="center"/>
    </xf>
    <xf numFmtId="3" fontId="79" fillId="0" borderId="473" xfId="34" applyNumberFormat="1" applyFont="1" applyBorder="1" applyAlignment="1">
      <alignment horizontal="right" vertical="center"/>
    </xf>
    <xf numFmtId="3" fontId="79" fillId="0" borderId="471" xfId="34" applyNumberFormat="1" applyFont="1" applyBorder="1" applyAlignment="1">
      <alignment horizontal="right" vertical="center"/>
    </xf>
    <xf numFmtId="3" fontId="79" fillId="0" borderId="474" xfId="34" applyNumberFormat="1" applyFont="1" applyBorder="1" applyAlignment="1">
      <alignment horizontal="right" vertical="center"/>
    </xf>
    <xf numFmtId="3" fontId="79" fillId="0" borderId="475" xfId="34" applyNumberFormat="1" applyFont="1" applyBorder="1" applyAlignment="1">
      <alignment horizontal="right" vertical="center"/>
    </xf>
    <xf numFmtId="3" fontId="79" fillId="0" borderId="476" xfId="34" applyNumberFormat="1" applyFont="1" applyBorder="1" applyAlignment="1">
      <alignment horizontal="right" vertical="center"/>
    </xf>
    <xf numFmtId="3" fontId="79" fillId="0" borderId="477" xfId="34" applyNumberFormat="1" applyFont="1" applyBorder="1" applyAlignment="1">
      <alignment horizontal="right" vertical="center"/>
    </xf>
    <xf numFmtId="0" fontId="78" fillId="0" borderId="0" xfId="34" applyFont="1"/>
    <xf numFmtId="0" fontId="2" fillId="0" borderId="0" xfId="34" applyAlignment="1">
      <alignment horizontal="center"/>
    </xf>
    <xf numFmtId="3" fontId="2" fillId="0" borderId="0" xfId="34" applyNumberFormat="1" applyFill="1"/>
    <xf numFmtId="3" fontId="2" fillId="0" borderId="0" xfId="34" applyNumberFormat="1"/>
    <xf numFmtId="0" fontId="74" fillId="0" borderId="219" xfId="0" applyFont="1" applyBorder="1" applyAlignment="1">
      <alignment horizontal="centerContinuous"/>
    </xf>
    <xf numFmtId="0" fontId="0" fillId="0" borderId="80" xfId="0" applyFill="1" applyBorder="1" applyAlignment="1">
      <alignment horizontal="centerContinuous"/>
    </xf>
    <xf numFmtId="0" fontId="0" fillId="0" borderId="296" xfId="0" applyFill="1" applyBorder="1" applyAlignment="1">
      <alignment horizontal="centerContinuous"/>
    </xf>
    <xf numFmtId="0" fontId="17" fillId="0" borderId="420" xfId="29" applyFont="1" applyFill="1" applyBorder="1">
      <alignment horizontal="center" vertical="center" textRotation="90" wrapText="1"/>
    </xf>
    <xf numFmtId="0" fontId="70" fillId="0" borderId="422" xfId="29" applyFont="1" applyFill="1" applyBorder="1">
      <alignment horizontal="center" vertical="center" textRotation="90" wrapText="1"/>
    </xf>
    <xf numFmtId="3" fontId="16" fillId="0" borderId="317" xfId="31" applyNumberFormat="1" applyFont="1" applyFill="1" applyBorder="1">
      <alignment vertical="center"/>
    </xf>
    <xf numFmtId="3" fontId="10" fillId="0" borderId="313" xfId="30" applyNumberFormat="1" applyFill="1" applyBorder="1">
      <alignment vertical="center"/>
      <protection locked="0"/>
    </xf>
    <xf numFmtId="3" fontId="11" fillId="0" borderId="312" xfId="31" applyNumberFormat="1" applyFill="1" applyBorder="1">
      <alignment vertical="center"/>
    </xf>
    <xf numFmtId="3" fontId="11" fillId="0" borderId="398" xfId="31" applyNumberFormat="1" applyFill="1" applyBorder="1">
      <alignment vertical="center"/>
    </xf>
    <xf numFmtId="3" fontId="11" fillId="0" borderId="74" xfId="31" applyNumberFormat="1" applyFill="1" applyBorder="1">
      <alignment vertical="center"/>
    </xf>
    <xf numFmtId="0" fontId="10" fillId="0" borderId="478" xfId="26" applyFont="1" applyFill="1" applyBorder="1">
      <alignment vertical="center"/>
    </xf>
    <xf numFmtId="3" fontId="11" fillId="0" borderId="316" xfId="31" applyNumberFormat="1" applyFill="1" applyBorder="1">
      <alignment vertical="center"/>
    </xf>
    <xf numFmtId="3" fontId="11" fillId="0" borderId="426" xfId="31" applyNumberFormat="1" applyFill="1" applyBorder="1">
      <alignment vertical="center"/>
    </xf>
    <xf numFmtId="0" fontId="10" fillId="0" borderId="192" xfId="25" applyFont="1" applyFill="1" applyBorder="1">
      <alignment horizontal="left" vertical="center" wrapText="1"/>
    </xf>
    <xf numFmtId="3" fontId="10" fillId="0" borderId="118" xfId="30" applyNumberFormat="1" applyFill="1" applyBorder="1">
      <alignment vertical="center"/>
      <protection locked="0"/>
    </xf>
    <xf numFmtId="3" fontId="16" fillId="0" borderId="479" xfId="31" applyNumberFormat="1" applyFont="1" applyFill="1" applyBorder="1">
      <alignment vertical="center"/>
    </xf>
    <xf numFmtId="3" fontId="11" fillId="0" borderId="480" xfId="31" applyNumberFormat="1" applyFill="1" applyBorder="1">
      <alignment vertical="center"/>
    </xf>
    <xf numFmtId="0" fontId="9" fillId="0" borderId="415" xfId="32" applyFill="1" applyBorder="1">
      <alignment horizontal="left" vertical="center"/>
    </xf>
    <xf numFmtId="3" fontId="11" fillId="0" borderId="103" xfId="31" applyNumberFormat="1" applyFill="1" applyBorder="1">
      <alignment vertical="center"/>
    </xf>
    <xf numFmtId="3" fontId="16" fillId="0" borderId="481" xfId="31" applyNumberFormat="1" applyFont="1" applyFill="1" applyBorder="1">
      <alignment vertical="center"/>
    </xf>
    <xf numFmtId="3" fontId="11" fillId="0" borderId="178" xfId="31" applyNumberFormat="1" applyFill="1" applyBorder="1">
      <alignment vertical="center"/>
    </xf>
    <xf numFmtId="3" fontId="11" fillId="0" borderId="482" xfId="31" applyNumberFormat="1" applyFill="1" applyBorder="1">
      <alignment vertical="center"/>
    </xf>
    <xf numFmtId="0" fontId="9" fillId="0" borderId="483" xfId="32" applyFill="1" applyBorder="1">
      <alignment horizontal="left" vertical="center"/>
    </xf>
    <xf numFmtId="3" fontId="11" fillId="0" borderId="483" xfId="31" applyNumberFormat="1" applyFill="1" applyBorder="1">
      <alignment vertical="center"/>
    </xf>
    <xf numFmtId="3" fontId="16" fillId="0" borderId="483" xfId="31" applyNumberFormat="1" applyFont="1" applyFill="1" applyBorder="1">
      <alignment vertical="center"/>
    </xf>
    <xf numFmtId="0" fontId="10" fillId="0" borderId="484" xfId="26" applyFont="1" applyFill="1" applyBorder="1">
      <alignment vertical="center"/>
    </xf>
    <xf numFmtId="3" fontId="10" fillId="0" borderId="485" xfId="30" applyNumberFormat="1" applyFill="1" applyBorder="1">
      <alignment vertical="center"/>
      <protection locked="0"/>
    </xf>
    <xf numFmtId="0" fontId="0" fillId="0" borderId="486" xfId="0" applyBorder="1"/>
    <xf numFmtId="3" fontId="10" fillId="0" borderId="486" xfId="30" applyNumberFormat="1" applyFill="1" applyBorder="1">
      <alignment vertical="center"/>
      <protection locked="0"/>
    </xf>
    <xf numFmtId="3" fontId="38" fillId="0" borderId="487" xfId="30" applyNumberFormat="1" applyFont="1" applyFill="1" applyBorder="1">
      <alignment vertical="center"/>
      <protection locked="0"/>
    </xf>
    <xf numFmtId="0" fontId="0" fillId="0" borderId="486" xfId="0" applyFill="1" applyBorder="1"/>
    <xf numFmtId="3" fontId="11" fillId="0" borderId="486" xfId="31" applyNumberFormat="1" applyFill="1" applyBorder="1">
      <alignment vertical="center"/>
    </xf>
    <xf numFmtId="0" fontId="0" fillId="0" borderId="488" xfId="0" applyFill="1" applyBorder="1"/>
    <xf numFmtId="0" fontId="74" fillId="0" borderId="0" xfId="0" applyFont="1"/>
    <xf numFmtId="0" fontId="25" fillId="0" borderId="489" xfId="38" applyFont="1" applyFill="1" applyBorder="1" applyAlignment="1">
      <alignment horizontal="center" vertical="center" wrapText="1"/>
    </xf>
    <xf numFmtId="0" fontId="25" fillId="0" borderId="490" xfId="38" applyFont="1" applyFill="1" applyBorder="1" applyAlignment="1">
      <alignment horizontal="center" vertical="center" wrapText="1"/>
    </xf>
    <xf numFmtId="0" fontId="25" fillId="0" borderId="491" xfId="38" applyFont="1" applyFill="1" applyBorder="1" applyAlignment="1">
      <alignment horizontal="center" vertical="center" wrapText="1"/>
    </xf>
    <xf numFmtId="0" fontId="25" fillId="0" borderId="492" xfId="38" applyFont="1" applyFill="1" applyBorder="1" applyAlignment="1">
      <alignment horizontal="center" vertical="center" wrapText="1"/>
    </xf>
    <xf numFmtId="3" fontId="25" fillId="0" borderId="492" xfId="38" applyNumberFormat="1" applyFont="1" applyBorder="1" applyAlignment="1">
      <alignment horizontal="center" vertical="center" wrapText="1"/>
    </xf>
    <xf numFmtId="0" fontId="25" fillId="0" borderId="493" xfId="38" applyFont="1" applyFill="1" applyBorder="1" applyAlignment="1">
      <alignment horizontal="center" vertical="center" wrapText="1"/>
    </xf>
    <xf numFmtId="0" fontId="26" fillId="0" borderId="0" xfId="0" applyFont="1"/>
    <xf numFmtId="0" fontId="14" fillId="0" borderId="494" xfId="38" applyFont="1" applyBorder="1" applyAlignment="1">
      <alignment horizontal="left" wrapText="1"/>
    </xf>
    <xf numFmtId="3" fontId="80" fillId="0" borderId="495" xfId="38" applyNumberFormat="1" applyFont="1" applyBorder="1" applyAlignment="1">
      <alignment horizontal="right" wrapText="1"/>
    </xf>
    <xf numFmtId="3" fontId="81" fillId="0" borderId="496" xfId="38" applyNumberFormat="1" applyFont="1" applyBorder="1" applyAlignment="1">
      <alignment horizontal="right" wrapText="1"/>
    </xf>
    <xf numFmtId="3" fontId="81" fillId="0" borderId="497" xfId="38" applyNumberFormat="1" applyFont="1" applyBorder="1" applyAlignment="1">
      <alignment horizontal="right" wrapText="1"/>
    </xf>
    <xf numFmtId="3" fontId="81" fillId="0" borderId="497" xfId="38" applyNumberFormat="1" applyFont="1" applyFill="1" applyBorder="1" applyAlignment="1">
      <alignment horizontal="right" wrapText="1"/>
    </xf>
    <xf numFmtId="3" fontId="81" fillId="0" borderId="498" xfId="38" applyNumberFormat="1" applyFont="1" applyBorder="1" applyAlignment="1">
      <alignment horizontal="right" wrapText="1"/>
    </xf>
    <xf numFmtId="3" fontId="80" fillId="0" borderId="499" xfId="0" applyNumberFormat="1" applyFont="1" applyBorder="1" applyAlignment="1"/>
    <xf numFmtId="0" fontId="14" fillId="0" borderId="140" xfId="38" applyFont="1" applyBorder="1" applyAlignment="1">
      <alignment horizontal="left" wrapText="1"/>
    </xf>
    <xf numFmtId="3" fontId="80" fillId="0" borderId="352" xfId="38" applyNumberFormat="1" applyFont="1" applyBorder="1" applyAlignment="1">
      <alignment horizontal="right" wrapText="1"/>
    </xf>
    <xf numFmtId="3" fontId="81" fillId="0" borderId="282" xfId="38" applyNumberFormat="1" applyFont="1" applyBorder="1" applyAlignment="1">
      <alignment horizontal="right" wrapText="1"/>
    </xf>
    <xf numFmtId="3" fontId="81" fillId="0" borderId="53" xfId="38" applyNumberFormat="1" applyFont="1" applyBorder="1" applyAlignment="1">
      <alignment horizontal="right" wrapText="1"/>
    </xf>
    <xf numFmtId="3" fontId="81" fillId="0" borderId="53" xfId="38" applyNumberFormat="1" applyFont="1" applyFill="1" applyBorder="1" applyAlignment="1">
      <alignment horizontal="right" wrapText="1"/>
    </xf>
    <xf numFmtId="3" fontId="81" fillId="0" borderId="237" xfId="38" applyNumberFormat="1" applyFont="1" applyBorder="1" applyAlignment="1">
      <alignment horizontal="right" wrapText="1"/>
    </xf>
    <xf numFmtId="3" fontId="80" fillId="0" borderId="227" xfId="0" applyNumberFormat="1" applyFont="1" applyBorder="1" applyAlignment="1"/>
    <xf numFmtId="0" fontId="32" fillId="0" borderId="140" xfId="38" applyFont="1" applyBorder="1" applyAlignment="1">
      <alignment horizontal="left" wrapText="1"/>
    </xf>
    <xf numFmtId="3" fontId="80" fillId="0" borderId="282" xfId="38" applyNumberFormat="1" applyFont="1" applyBorder="1" applyAlignment="1">
      <alignment horizontal="right" wrapText="1"/>
    </xf>
    <xf numFmtId="3" fontId="80" fillId="0" borderId="53" xfId="38" applyNumberFormat="1" applyFont="1" applyBorder="1" applyAlignment="1">
      <alignment horizontal="right" wrapText="1"/>
    </xf>
    <xf numFmtId="3" fontId="80" fillId="0" borderId="53" xfId="38" applyNumberFormat="1" applyFont="1" applyFill="1" applyBorder="1" applyAlignment="1">
      <alignment horizontal="right" wrapText="1"/>
    </xf>
    <xf numFmtId="3" fontId="80" fillId="0" borderId="237" xfId="38" applyNumberFormat="1" applyFont="1" applyBorder="1" applyAlignment="1">
      <alignment horizontal="right" wrapText="1"/>
    </xf>
    <xf numFmtId="0" fontId="32" fillId="0" borderId="500" xfId="38" applyFont="1" applyBorder="1" applyAlignment="1">
      <alignment horizontal="left" wrapText="1"/>
    </xf>
    <xf numFmtId="3" fontId="80" fillId="0" borderId="501" xfId="38" applyNumberFormat="1" applyFont="1" applyBorder="1" applyAlignment="1">
      <alignment horizontal="right" wrapText="1"/>
    </xf>
    <xf numFmtId="3" fontId="80" fillId="0" borderId="502" xfId="38" applyNumberFormat="1" applyFont="1" applyBorder="1" applyAlignment="1">
      <alignment horizontal="right" wrapText="1"/>
    </xf>
    <xf numFmtId="3" fontId="80" fillId="0" borderId="419" xfId="38" applyNumberFormat="1" applyFont="1" applyBorder="1" applyAlignment="1">
      <alignment horizontal="right" wrapText="1"/>
    </xf>
    <xf numFmtId="3" fontId="80" fillId="0" borderId="419" xfId="38" applyNumberFormat="1" applyFont="1" applyFill="1" applyBorder="1" applyAlignment="1">
      <alignment horizontal="right" wrapText="1"/>
    </xf>
    <xf numFmtId="3" fontId="80" fillId="0" borderId="503" xfId="38" applyNumberFormat="1" applyFont="1" applyBorder="1" applyAlignment="1">
      <alignment horizontal="right" wrapText="1"/>
    </xf>
    <xf numFmtId="3" fontId="80" fillId="0" borderId="504" xfId="0" applyNumberFormat="1" applyFont="1" applyBorder="1" applyAlignment="1"/>
    <xf numFmtId="0" fontId="14" fillId="0" borderId="0" xfId="0" applyFont="1" applyAlignment="1">
      <alignment horizontal="left"/>
    </xf>
    <xf numFmtId="0" fontId="26" fillId="0" borderId="0" xfId="0" applyFont="1" applyFill="1"/>
    <xf numFmtId="0" fontId="25" fillId="0" borderId="0" xfId="0" applyFont="1"/>
    <xf numFmtId="3" fontId="20" fillId="0" borderId="342" xfId="4" applyNumberFormat="1" applyFont="1" applyFill="1" applyBorder="1">
      <alignment vertical="center"/>
      <protection locked="0"/>
    </xf>
    <xf numFmtId="3" fontId="11" fillId="0" borderId="343" xfId="4" applyNumberFormat="1" applyFont="1" applyFill="1" applyBorder="1">
      <alignment vertical="center"/>
      <protection locked="0"/>
    </xf>
    <xf numFmtId="3" fontId="20" fillId="0" borderId="391" xfId="4" applyNumberFormat="1" applyFont="1" applyFill="1" applyBorder="1">
      <alignment vertical="center"/>
      <protection locked="0"/>
    </xf>
    <xf numFmtId="3" fontId="11" fillId="0" borderId="365" xfId="4" applyNumberFormat="1" applyFont="1" applyFill="1" applyBorder="1">
      <alignment vertical="center"/>
      <protection locked="0"/>
    </xf>
    <xf numFmtId="3" fontId="16" fillId="0" borderId="77" xfId="4" applyNumberFormat="1" applyFont="1" applyFill="1" applyBorder="1">
      <alignment vertical="center"/>
      <protection locked="0"/>
    </xf>
    <xf numFmtId="3" fontId="11" fillId="0" borderId="285" xfId="4" applyNumberFormat="1" applyFont="1" applyFill="1" applyBorder="1">
      <alignment vertical="center"/>
      <protection locked="0"/>
    </xf>
    <xf numFmtId="3" fontId="11" fillId="0" borderId="280" xfId="4" applyNumberFormat="1" applyFont="1" applyFill="1" applyBorder="1">
      <alignment vertical="center"/>
      <protection locked="0"/>
    </xf>
    <xf numFmtId="3" fontId="26" fillId="0" borderId="101" xfId="0" applyNumberFormat="1" applyFont="1" applyFill="1" applyBorder="1"/>
    <xf numFmtId="3" fontId="10" fillId="0" borderId="245" xfId="4" applyNumberFormat="1" applyFill="1" applyBorder="1">
      <alignment vertical="center"/>
      <protection locked="0"/>
    </xf>
    <xf numFmtId="3" fontId="11" fillId="0" borderId="244" xfId="4" applyNumberFormat="1" applyFont="1" applyFill="1" applyBorder="1">
      <alignment vertical="center"/>
      <protection locked="0"/>
    </xf>
    <xf numFmtId="3" fontId="11" fillId="0" borderId="39" xfId="4" applyNumberFormat="1" applyFont="1" applyFill="1" applyBorder="1">
      <alignment vertical="center"/>
      <protection locked="0"/>
    </xf>
    <xf numFmtId="3" fontId="11" fillId="0" borderId="387" xfId="4" applyNumberFormat="1" applyFont="1" applyFill="1" applyBorder="1">
      <alignment vertical="center"/>
      <protection locked="0"/>
    </xf>
    <xf numFmtId="3" fontId="10" fillId="0" borderId="78" xfId="4" applyNumberFormat="1" applyFill="1" applyBorder="1">
      <alignment vertical="center"/>
      <protection locked="0"/>
    </xf>
    <xf numFmtId="3" fontId="11" fillId="0" borderId="66" xfId="4" applyNumberFormat="1" applyFont="1" applyFill="1" applyBorder="1">
      <alignment vertical="center"/>
      <protection locked="0"/>
    </xf>
    <xf numFmtId="3" fontId="11" fillId="0" borderId="382" xfId="4" applyNumberFormat="1" applyFont="1" applyFill="1" applyBorder="1">
      <alignment vertical="center"/>
      <protection locked="0"/>
    </xf>
    <xf numFmtId="3" fontId="11" fillId="0" borderId="383" xfId="4" applyNumberFormat="1" applyFont="1" applyFill="1" applyBorder="1">
      <alignment vertical="center"/>
      <protection locked="0"/>
    </xf>
    <xf numFmtId="3" fontId="11" fillId="0" borderId="294" xfId="4" applyNumberFormat="1" applyFont="1" applyFill="1" applyBorder="1">
      <alignment vertical="center"/>
      <protection locked="0"/>
    </xf>
    <xf numFmtId="3" fontId="32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3" fontId="32" fillId="0" borderId="0" xfId="0" applyNumberFormat="1" applyFont="1" applyFill="1" applyAlignment="1">
      <alignment horizontal="left" vertical="center"/>
    </xf>
    <xf numFmtId="0" fontId="17" fillId="0" borderId="505" xfId="25" applyFont="1" applyFill="1" applyBorder="1" applyAlignment="1">
      <alignment horizontal="left" vertical="center" wrapText="1"/>
    </xf>
    <xf numFmtId="0" fontId="66" fillId="0" borderId="506" xfId="0" applyFont="1" applyBorder="1" applyAlignment="1">
      <alignment horizontal="center" vertical="center"/>
    </xf>
    <xf numFmtId="0" fontId="66" fillId="0" borderId="507" xfId="0" applyFont="1" applyBorder="1" applyAlignment="1">
      <alignment horizontal="center" vertical="center"/>
    </xf>
    <xf numFmtId="0" fontId="17" fillId="0" borderId="23" xfId="25" applyFont="1" applyFill="1" applyBorder="1" applyAlignment="1">
      <alignment horizontal="left" vertical="center" wrapText="1"/>
    </xf>
    <xf numFmtId="0" fontId="66" fillId="0" borderId="85" xfId="0" applyFont="1" applyBorder="1" applyAlignment="1">
      <alignment horizontal="center" vertical="center"/>
    </xf>
    <xf numFmtId="0" fontId="66" fillId="0" borderId="231" xfId="0" applyFont="1" applyBorder="1" applyAlignment="1">
      <alignment horizontal="center" vertical="center"/>
    </xf>
    <xf numFmtId="0" fontId="17" fillId="0" borderId="508" xfId="26" applyFont="1" applyFill="1" applyBorder="1" applyAlignment="1">
      <alignment horizontal="left" vertical="center"/>
    </xf>
    <xf numFmtId="0" fontId="71" fillId="0" borderId="218" xfId="26" applyFont="1" applyFill="1" applyBorder="1" applyAlignment="1">
      <alignment horizontal="left" vertical="center"/>
    </xf>
    <xf numFmtId="0" fontId="66" fillId="0" borderId="509" xfId="0" applyFont="1" applyBorder="1" applyAlignment="1">
      <alignment horizontal="center" vertical="center"/>
    </xf>
    <xf numFmtId="0" fontId="82" fillId="0" borderId="214" xfId="0" applyFont="1" applyBorder="1" applyAlignment="1">
      <alignment horizontal="center" vertical="center"/>
    </xf>
    <xf numFmtId="0" fontId="48" fillId="0" borderId="414" xfId="0" applyFont="1" applyBorder="1" applyAlignment="1">
      <alignment horizontal="center" vertical="center"/>
    </xf>
    <xf numFmtId="0" fontId="40" fillId="0" borderId="0" xfId="0" applyFont="1" applyFill="1"/>
    <xf numFmtId="0" fontId="40" fillId="0" borderId="366" xfId="0" applyFont="1" applyFill="1" applyBorder="1"/>
    <xf numFmtId="0" fontId="40" fillId="0" borderId="358" xfId="0" applyFont="1" applyFill="1" applyBorder="1"/>
    <xf numFmtId="0" fontId="40" fillId="0" borderId="358" xfId="0" applyFont="1" applyFill="1" applyBorder="1" applyAlignment="1">
      <alignment wrapText="1"/>
    </xf>
    <xf numFmtId="0" fontId="40" fillId="0" borderId="177" xfId="0" applyFont="1" applyFill="1" applyBorder="1" applyAlignment="1">
      <alignment wrapText="1"/>
    </xf>
    <xf numFmtId="0" fontId="40" fillId="0" borderId="49" xfId="0" applyFont="1" applyFill="1" applyBorder="1"/>
    <xf numFmtId="3" fontId="40" fillId="0" borderId="50" xfId="0" applyNumberFormat="1" applyFont="1" applyFill="1" applyBorder="1"/>
    <xf numFmtId="0" fontId="66" fillId="0" borderId="85" xfId="0" applyFont="1" applyFill="1" applyBorder="1" applyAlignment="1">
      <alignment horizontal="center" vertical="center"/>
    </xf>
    <xf numFmtId="10" fontId="14" fillId="0" borderId="510" xfId="2" applyNumberFormat="1" applyFont="1" applyFill="1" applyBorder="1">
      <alignment vertical="center"/>
    </xf>
    <xf numFmtId="10" fontId="14" fillId="0" borderId="74" xfId="2" applyNumberFormat="1" applyFont="1" applyFill="1" applyBorder="1">
      <alignment vertical="center"/>
    </xf>
    <xf numFmtId="10" fontId="32" fillId="0" borderId="511" xfId="0" applyNumberFormat="1" applyFont="1" applyFill="1" applyBorder="1" applyAlignment="1">
      <alignment horizontal="right" vertical="center"/>
    </xf>
    <xf numFmtId="10" fontId="14" fillId="0" borderId="512" xfId="0" applyNumberFormat="1" applyFont="1" applyFill="1" applyBorder="1" applyAlignment="1">
      <alignment horizontal="right" vertical="center"/>
    </xf>
    <xf numFmtId="10" fontId="14" fillId="0" borderId="74" xfId="0" applyNumberFormat="1" applyFont="1" applyFill="1" applyBorder="1" applyAlignment="1">
      <alignment horizontal="right" vertical="center"/>
    </xf>
    <xf numFmtId="10" fontId="32" fillId="0" borderId="513" xfId="0" applyNumberFormat="1" applyFont="1" applyFill="1" applyBorder="1" applyAlignment="1">
      <alignment horizontal="right" vertical="center"/>
    </xf>
    <xf numFmtId="10" fontId="11" fillId="0" borderId="516" xfId="2" applyNumberFormat="1" applyFont="1" applyFill="1" applyBorder="1">
      <alignment vertical="center"/>
    </xf>
    <xf numFmtId="10" fontId="11" fillId="0" borderId="269" xfId="2" applyNumberFormat="1" applyFont="1" applyFill="1" applyBorder="1">
      <alignment vertical="center"/>
    </xf>
    <xf numFmtId="10" fontId="33" fillId="0" borderId="517" xfId="2" applyNumberFormat="1" applyFont="1" applyFill="1" applyBorder="1" applyAlignment="1">
      <alignment vertical="center"/>
    </xf>
    <xf numFmtId="10" fontId="11" fillId="0" borderId="150" xfId="2" applyNumberFormat="1" applyFont="1" applyFill="1" applyBorder="1">
      <alignment vertical="center"/>
    </xf>
    <xf numFmtId="10" fontId="33" fillId="0" borderId="269" xfId="2" applyNumberFormat="1" applyFont="1" applyFill="1" applyBorder="1">
      <alignment vertical="center"/>
    </xf>
    <xf numFmtId="10" fontId="11" fillId="0" borderId="189" xfId="2" applyNumberFormat="1" applyFont="1" applyFill="1" applyBorder="1">
      <alignment vertical="center"/>
    </xf>
    <xf numFmtId="0" fontId="15" fillId="0" borderId="134" xfId="10" applyFont="1" applyFill="1" applyBorder="1">
      <alignment horizontal="left" vertical="center"/>
    </xf>
    <xf numFmtId="10" fontId="11" fillId="0" borderId="145" xfId="2" applyNumberFormat="1" applyFont="1" applyFill="1" applyBorder="1">
      <alignment vertical="center"/>
    </xf>
    <xf numFmtId="10" fontId="33" fillId="0" borderId="519" xfId="2" applyNumberFormat="1" applyFont="1" applyFill="1" applyBorder="1">
      <alignment vertical="center"/>
    </xf>
    <xf numFmtId="3" fontId="11" fillId="0" borderId="520" xfId="2" applyNumberFormat="1" applyFont="1" applyFill="1" applyBorder="1">
      <alignment vertical="center"/>
    </xf>
    <xf numFmtId="3" fontId="11" fillId="0" borderId="269" xfId="2" applyNumberFormat="1" applyFont="1" applyFill="1" applyBorder="1">
      <alignment vertical="center"/>
    </xf>
    <xf numFmtId="3" fontId="11" fillId="0" borderId="290" xfId="2" applyNumberFormat="1" applyFont="1" applyFill="1" applyBorder="1">
      <alignment vertical="center"/>
    </xf>
    <xf numFmtId="3" fontId="11" fillId="0" borderId="521" xfId="4" applyNumberFormat="1" applyFont="1" applyFill="1" applyBorder="1">
      <alignment vertical="center"/>
      <protection locked="0"/>
    </xf>
    <xf numFmtId="3" fontId="11" fillId="0" borderId="269" xfId="4" applyNumberFormat="1" applyFont="1" applyFill="1" applyBorder="1">
      <alignment vertical="center"/>
      <protection locked="0"/>
    </xf>
    <xf numFmtId="3" fontId="49" fillId="0" borderId="149" xfId="4" applyNumberFormat="1" applyFont="1" applyFill="1" applyBorder="1">
      <alignment vertical="center"/>
      <protection locked="0"/>
    </xf>
    <xf numFmtId="3" fontId="33" fillId="0" borderId="150" xfId="2" applyNumberFormat="1" applyFont="1" applyFill="1" applyBorder="1" applyAlignment="1">
      <alignment vertical="center"/>
    </xf>
    <xf numFmtId="3" fontId="11" fillId="0" borderId="88" xfId="2" applyNumberFormat="1" applyFont="1" applyFill="1" applyBorder="1">
      <alignment vertical="center"/>
    </xf>
    <xf numFmtId="3" fontId="11" fillId="0" borderId="143" xfId="2" applyNumberFormat="1" applyFont="1" applyFill="1" applyBorder="1">
      <alignment vertical="center"/>
    </xf>
    <xf numFmtId="3" fontId="14" fillId="0" borderId="269" xfId="0" applyNumberFormat="1" applyFont="1" applyFill="1" applyBorder="1" applyAlignment="1">
      <alignment vertical="center"/>
    </xf>
    <xf numFmtId="3" fontId="11" fillId="0" borderId="149" xfId="2" applyNumberFormat="1" applyFont="1" applyFill="1" applyBorder="1">
      <alignment vertical="center"/>
    </xf>
    <xf numFmtId="3" fontId="33" fillId="0" borderId="522" xfId="2" applyNumberFormat="1" applyFont="1" applyFill="1" applyBorder="1">
      <alignment vertical="center"/>
    </xf>
    <xf numFmtId="3" fontId="11" fillId="0" borderId="153" xfId="2" applyNumberFormat="1" applyFont="1" applyFill="1" applyBorder="1">
      <alignment vertical="center"/>
    </xf>
    <xf numFmtId="3" fontId="33" fillId="0" borderId="48" xfId="2" applyNumberFormat="1" applyFont="1" applyFill="1" applyBorder="1">
      <alignment vertical="center"/>
    </xf>
    <xf numFmtId="3" fontId="44" fillId="0" borderId="523" xfId="23" applyNumberFormat="1" applyFont="1" applyBorder="1" applyAlignment="1">
      <alignment vertical="center"/>
    </xf>
    <xf numFmtId="3" fontId="44" fillId="0" borderId="61" xfId="23" applyNumberFormat="1" applyFont="1" applyBorder="1" applyAlignment="1">
      <alignment vertical="center"/>
    </xf>
    <xf numFmtId="0" fontId="44" fillId="0" borderId="524" xfId="23" applyFont="1" applyBorder="1" applyAlignment="1">
      <alignment vertical="center" wrapText="1"/>
    </xf>
    <xf numFmtId="165" fontId="73" fillId="0" borderId="53" xfId="39" applyNumberFormat="1" applyFont="1" applyFill="1" applyBorder="1" applyAlignment="1">
      <alignment horizontal="center" vertical="center" wrapText="1"/>
    </xf>
    <xf numFmtId="0" fontId="73" fillId="0" borderId="29" xfId="39" applyFont="1" applyFill="1" applyBorder="1" applyAlignment="1">
      <alignment horizontal="left" vertical="center" wrapText="1"/>
    </xf>
    <xf numFmtId="0" fontId="73" fillId="0" borderId="101" xfId="39" applyFont="1" applyFill="1" applyBorder="1" applyAlignment="1">
      <alignment vertical="center" wrapText="1"/>
    </xf>
    <xf numFmtId="0" fontId="73" fillId="0" borderId="29" xfId="23" applyFont="1" applyFill="1" applyBorder="1" applyAlignment="1">
      <alignment horizontal="left" vertical="center" wrapText="1"/>
    </xf>
    <xf numFmtId="0" fontId="73" fillId="0" borderId="101" xfId="23" applyFont="1" applyFill="1" applyBorder="1" applyAlignment="1">
      <alignment vertical="center" wrapText="1"/>
    </xf>
    <xf numFmtId="165" fontId="66" fillId="0" borderId="305" xfId="21" applyNumberFormat="1" applyFont="1" applyFill="1" applyBorder="1" applyAlignment="1">
      <alignment horizontal="center" vertical="center"/>
    </xf>
    <xf numFmtId="0" fontId="66" fillId="0" borderId="360" xfId="0" applyFont="1" applyFill="1" applyBorder="1" applyAlignment="1">
      <alignment horizontal="center" vertical="center" wrapText="1"/>
    </xf>
    <xf numFmtId="0" fontId="25" fillId="0" borderId="525" xfId="38" applyFont="1" applyFill="1" applyBorder="1" applyAlignment="1">
      <alignment horizontal="center" vertical="center" wrapText="1"/>
    </xf>
    <xf numFmtId="0" fontId="15" fillId="0" borderId="52" xfId="15" applyFont="1" applyFill="1" applyBorder="1" applyAlignment="1">
      <alignment horizontal="center" vertical="center" wrapText="1"/>
    </xf>
    <xf numFmtId="0" fontId="0" fillId="0" borderId="259" xfId="0" applyFill="1" applyBorder="1" applyAlignment="1">
      <alignment horizontal="center" vertical="center" wrapText="1"/>
    </xf>
    <xf numFmtId="0" fontId="15" fillId="0" borderId="320" xfId="15" applyFont="1" applyFill="1" applyBorder="1" applyAlignment="1">
      <alignment horizontal="center" vertical="center" wrapText="1"/>
    </xf>
    <xf numFmtId="0" fontId="0" fillId="0" borderId="135" xfId="0" applyFill="1" applyBorder="1" applyAlignment="1">
      <alignment horizontal="center" vertical="center" wrapText="1"/>
    </xf>
    <xf numFmtId="0" fontId="15" fillId="0" borderId="514" xfId="15" applyFont="1" applyFill="1" applyBorder="1" applyAlignment="1">
      <alignment horizontal="center" vertical="center" wrapText="1"/>
    </xf>
    <xf numFmtId="0" fontId="15" fillId="0" borderId="515" xfId="15" applyFont="1" applyFill="1" applyBorder="1" applyAlignment="1">
      <alignment horizontal="center" vertical="center" wrapText="1"/>
    </xf>
    <xf numFmtId="0" fontId="15" fillId="0" borderId="256" xfId="15" applyFont="1" applyFill="1" applyBorder="1" applyAlignment="1">
      <alignment horizontal="center" vertical="center"/>
    </xf>
    <xf numFmtId="0" fontId="0" fillId="0" borderId="253" xfId="0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53" xfId="0" applyFill="1" applyBorder="1" applyAlignment="1"/>
    <xf numFmtId="0" fontId="0" fillId="0" borderId="257" xfId="0" applyFill="1" applyBorder="1" applyAlignment="1"/>
    <xf numFmtId="0" fontId="15" fillId="0" borderId="320" xfId="15" applyFont="1" applyFill="1" applyBorder="1" applyAlignment="1">
      <alignment horizontal="center" vertical="center"/>
    </xf>
    <xf numFmtId="0" fontId="0" fillId="0" borderId="135" xfId="0" applyFill="1" applyBorder="1" applyAlignment="1">
      <alignment horizontal="center" vertical="center"/>
    </xf>
    <xf numFmtId="0" fontId="15" fillId="0" borderId="269" xfId="15" applyFont="1" applyFill="1" applyBorder="1" applyAlignment="1">
      <alignment horizontal="center" vertical="center" wrapText="1"/>
    </xf>
    <xf numFmtId="0" fontId="15" fillId="0" borderId="518" xfId="15" applyFont="1" applyFill="1" applyBorder="1" applyAlignment="1">
      <alignment horizontal="center" vertical="center" wrapText="1"/>
    </xf>
    <xf numFmtId="0" fontId="9" fillId="0" borderId="9" xfId="15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9" fillId="0" borderId="87" xfId="15" applyFont="1" applyFill="1" applyBorder="1" applyAlignment="1">
      <alignment horizontal="center" vertical="center"/>
    </xf>
    <xf numFmtId="0" fontId="0" fillId="0" borderId="80" xfId="0" applyFill="1" applyBorder="1" applyAlignment="1"/>
    <xf numFmtId="0" fontId="13" fillId="0" borderId="209" xfId="15" applyFont="1" applyFill="1" applyBorder="1" applyAlignment="1">
      <alignment horizontal="center" vertical="center" wrapText="1"/>
    </xf>
    <xf numFmtId="0" fontId="46" fillId="0" borderId="210" xfId="0" applyFont="1" applyFill="1" applyBorder="1" applyAlignment="1">
      <alignment horizontal="center" wrapText="1"/>
    </xf>
    <xf numFmtId="0" fontId="9" fillId="0" borderId="182" xfId="15" applyFont="1" applyFill="1" applyBorder="1" applyAlignment="1">
      <alignment horizontal="center" vertical="center"/>
    </xf>
    <xf numFmtId="0" fontId="0" fillId="0" borderId="211" xfId="0" applyFill="1" applyBorder="1" applyAlignment="1"/>
    <xf numFmtId="0" fontId="9" fillId="0" borderId="212" xfId="1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2" fillId="0" borderId="213" xfId="0" applyFont="1" applyFill="1" applyBorder="1" applyAlignment="1">
      <alignment horizontal="center" vertical="center" wrapText="1"/>
    </xf>
    <xf numFmtId="0" fontId="32" fillId="0" borderId="214" xfId="0" applyFont="1" applyBorder="1" applyAlignment="1">
      <alignment horizontal="center" vertical="center" wrapText="1"/>
    </xf>
    <xf numFmtId="0" fontId="32" fillId="0" borderId="195" xfId="0" applyFont="1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9" fillId="0" borderId="182" xfId="15" applyFill="1" applyBorder="1" applyAlignment="1">
      <alignment horizontal="center" vertical="center"/>
    </xf>
    <xf numFmtId="0" fontId="9" fillId="0" borderId="215" xfId="10" applyFont="1" applyFill="1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0" fontId="32" fillId="0" borderId="213" xfId="0" applyFont="1" applyBorder="1" applyAlignment="1">
      <alignment horizontal="center" vertical="center" wrapText="1"/>
    </xf>
    <xf numFmtId="0" fontId="0" fillId="0" borderId="214" xfId="0" applyBorder="1" applyAlignment="1">
      <alignment horizontal="center" vertical="center" wrapText="1"/>
    </xf>
    <xf numFmtId="0" fontId="15" fillId="0" borderId="215" xfId="10" applyFont="1" applyFill="1" applyBorder="1" applyAlignment="1">
      <alignment horizontal="center" vertical="center"/>
    </xf>
    <xf numFmtId="0" fontId="0" fillId="0" borderId="216" xfId="0" applyFill="1" applyBorder="1" applyAlignment="1">
      <alignment horizontal="center" vertical="center"/>
    </xf>
    <xf numFmtId="0" fontId="32" fillId="0" borderId="213" xfId="15" applyFont="1" applyFill="1" applyBorder="1" applyAlignment="1">
      <alignment horizontal="center" vertical="center" wrapText="1"/>
    </xf>
    <xf numFmtId="0" fontId="32" fillId="0" borderId="214" xfId="0" applyFont="1" applyFill="1" applyBorder="1" applyAlignment="1">
      <alignment wrapText="1"/>
    </xf>
    <xf numFmtId="0" fontId="32" fillId="0" borderId="195" xfId="0" applyFont="1" applyFill="1" applyBorder="1" applyAlignment="1">
      <alignment horizontal="center" vertical="center"/>
    </xf>
    <xf numFmtId="0" fontId="0" fillId="0" borderId="192" xfId="0" applyFill="1" applyBorder="1" applyAlignment="1">
      <alignment horizontal="center" vertical="center"/>
    </xf>
    <xf numFmtId="0" fontId="0" fillId="0" borderId="84" xfId="0" applyFill="1" applyBorder="1" applyAlignment="1"/>
    <xf numFmtId="0" fontId="12" fillId="0" borderId="215" xfId="10" applyFont="1" applyFill="1" applyBorder="1" applyAlignment="1">
      <alignment horizontal="center" vertical="center"/>
    </xf>
    <xf numFmtId="0" fontId="32" fillId="0" borderId="217" xfId="0" applyFont="1" applyFill="1" applyBorder="1" applyAlignment="1">
      <alignment horizontal="center" vertical="center"/>
    </xf>
    <xf numFmtId="0" fontId="32" fillId="0" borderId="124" xfId="0" applyFont="1" applyFill="1" applyBorder="1" applyAlignment="1">
      <alignment horizontal="center" vertical="center"/>
    </xf>
    <xf numFmtId="0" fontId="32" fillId="0" borderId="192" xfId="0" applyFont="1" applyFill="1" applyBorder="1" applyAlignment="1">
      <alignment horizontal="center" vertical="center"/>
    </xf>
    <xf numFmtId="0" fontId="25" fillId="0" borderId="140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0" fontId="25" fillId="0" borderId="54" xfId="0" applyFont="1" applyFill="1" applyBorder="1" applyAlignment="1">
      <alignment horizontal="center"/>
    </xf>
    <xf numFmtId="0" fontId="25" fillId="0" borderId="234" xfId="0" applyFont="1" applyFill="1" applyBorder="1" applyAlignment="1">
      <alignment horizontal="center"/>
    </xf>
    <xf numFmtId="0" fontId="25" fillId="0" borderId="136" xfId="0" applyFont="1" applyFill="1" applyBorder="1" applyAlignment="1">
      <alignment horizontal="center"/>
    </xf>
    <xf numFmtId="0" fontId="25" fillId="0" borderId="177" xfId="0" applyFont="1" applyFill="1" applyBorder="1" applyAlignment="1">
      <alignment horizontal="center"/>
    </xf>
    <xf numFmtId="0" fontId="25" fillId="0" borderId="207" xfId="0" applyFont="1" applyFill="1" applyBorder="1" applyAlignment="1">
      <alignment horizontal="center"/>
    </xf>
    <xf numFmtId="0" fontId="25" fillId="0" borderId="132" xfId="0" applyFont="1" applyFill="1" applyBorder="1" applyAlignment="1">
      <alignment horizontal="center"/>
    </xf>
    <xf numFmtId="0" fontId="0" fillId="0" borderId="211" xfId="0" applyBorder="1" applyAlignment="1"/>
    <xf numFmtId="0" fontId="32" fillId="0" borderId="9" xfId="0" applyFont="1" applyBorder="1" applyAlignment="1">
      <alignment horizontal="center" vertical="center"/>
    </xf>
    <xf numFmtId="0" fontId="32" fillId="0" borderId="218" xfId="0" applyFont="1" applyBorder="1" applyAlignment="1">
      <alignment horizontal="center" vertical="center"/>
    </xf>
    <xf numFmtId="0" fontId="12" fillId="0" borderId="80" xfId="10" applyFont="1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12" fillId="0" borderId="212" xfId="10" applyFont="1" applyFill="1" applyBorder="1" applyAlignment="1">
      <alignment horizontal="center" vertical="center"/>
    </xf>
    <xf numFmtId="0" fontId="44" fillId="0" borderId="213" xfId="13" applyFont="1" applyFill="1" applyBorder="1" applyAlignment="1">
      <alignment horizontal="center" vertical="center" wrapText="1"/>
    </xf>
    <xf numFmtId="0" fontId="32" fillId="0" borderId="214" xfId="0" applyFont="1" applyFill="1" applyBorder="1" applyAlignment="1">
      <alignment horizontal="center" vertical="center"/>
    </xf>
    <xf numFmtId="0" fontId="21" fillId="0" borderId="212" xfId="1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219" xfId="0" applyFont="1" applyFill="1" applyBorder="1" applyAlignment="1">
      <alignment horizontal="center" vertical="center"/>
    </xf>
    <xf numFmtId="0" fontId="46" fillId="0" borderId="80" xfId="0" applyFont="1" applyFill="1" applyBorder="1" applyAlignment="1">
      <alignment horizontal="center" vertical="center"/>
    </xf>
    <xf numFmtId="0" fontId="25" fillId="0" borderId="217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wrapText="1"/>
    </xf>
    <xf numFmtId="0" fontId="21" fillId="0" borderId="80" xfId="10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21" fillId="0" borderId="87" xfId="10" applyFont="1" applyFill="1" applyBorder="1" applyAlignment="1">
      <alignment horizontal="center"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21" fillId="0" borderId="219" xfId="10" applyFont="1" applyFill="1" applyBorder="1" applyAlignment="1">
      <alignment horizontal="center" vertical="center"/>
    </xf>
    <xf numFmtId="0" fontId="25" fillId="0" borderId="374" xfId="0" applyFont="1" applyFill="1" applyBorder="1" applyAlignment="1">
      <alignment horizontal="center" vertical="center" wrapText="1"/>
    </xf>
    <xf numFmtId="0" fontId="25" fillId="0" borderId="214" xfId="0" applyFont="1" applyFill="1" applyBorder="1" applyAlignment="1">
      <alignment horizontal="center" vertical="center" wrapText="1"/>
    </xf>
    <xf numFmtId="0" fontId="32" fillId="0" borderId="217" xfId="0" applyFont="1" applyFill="1" applyBorder="1" applyAlignment="1">
      <alignment horizontal="center" vertical="center" wrapText="1"/>
    </xf>
    <xf numFmtId="0" fontId="32" fillId="0" borderId="1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textRotation="90"/>
    </xf>
    <xf numFmtId="0" fontId="32" fillId="0" borderId="218" xfId="0" applyFont="1" applyFill="1" applyBorder="1" applyAlignment="1">
      <alignment horizontal="center" vertical="center"/>
    </xf>
    <xf numFmtId="0" fontId="0" fillId="0" borderId="219" xfId="0" applyFill="1" applyBorder="1" applyAlignment="1">
      <alignment horizontal="center" vertical="center"/>
    </xf>
    <xf numFmtId="0" fontId="56" fillId="0" borderId="9" xfId="7" applyFont="1" applyFill="1" applyBorder="1" applyAlignment="1">
      <alignment horizontal="center" vertical="center"/>
    </xf>
    <xf numFmtId="0" fontId="56" fillId="0" borderId="218" xfId="0" applyFont="1" applyFill="1" applyBorder="1" applyAlignment="1">
      <alignment horizontal="center" vertical="center"/>
    </xf>
    <xf numFmtId="0" fontId="56" fillId="0" borderId="213" xfId="7" applyFont="1" applyFill="1" applyBorder="1" applyAlignment="1">
      <alignment horizontal="center" vertical="center" wrapText="1"/>
    </xf>
    <xf numFmtId="0" fontId="57" fillId="0" borderId="214" xfId="0" applyFont="1" applyFill="1" applyBorder="1" applyAlignment="1">
      <alignment horizontal="center" vertical="center" wrapText="1"/>
    </xf>
    <xf numFmtId="0" fontId="55" fillId="0" borderId="45" xfId="15" applyFont="1" applyFill="1" applyBorder="1" applyAlignment="1">
      <alignment horizontal="center" vertical="center"/>
    </xf>
    <xf numFmtId="0" fontId="57" fillId="0" borderId="220" xfId="7" applyFont="1" applyFill="1" applyBorder="1" applyAlignment="1">
      <alignment horizontal="center" vertical="center"/>
    </xf>
    <xf numFmtId="0" fontId="55" fillId="0" borderId="222" xfId="15" applyFont="1" applyFill="1" applyBorder="1" applyAlignment="1">
      <alignment horizontal="center" vertical="center" wrapText="1"/>
    </xf>
    <xf numFmtId="0" fontId="57" fillId="0" borderId="223" xfId="0" applyFont="1" applyFill="1" applyBorder="1" applyAlignment="1">
      <alignment horizontal="center" vertical="center" wrapText="1"/>
    </xf>
    <xf numFmtId="0" fontId="55" fillId="0" borderId="182" xfId="15" applyFont="1" applyFill="1" applyBorder="1" applyAlignment="1">
      <alignment horizontal="center" vertical="center" wrapText="1"/>
    </xf>
    <xf numFmtId="0" fontId="57" fillId="0" borderId="211" xfId="0" applyFont="1" applyFill="1" applyBorder="1" applyAlignment="1">
      <alignment horizontal="center" vertical="center" wrapText="1"/>
    </xf>
    <xf numFmtId="0" fontId="0" fillId="0" borderId="211" xfId="0" applyFill="1" applyBorder="1" applyAlignment="1">
      <alignment horizontal="center" vertical="center"/>
    </xf>
    <xf numFmtId="0" fontId="12" fillId="0" borderId="212" xfId="15" applyFont="1" applyFill="1" applyBorder="1" applyAlignment="1">
      <alignment horizontal="center" vertical="center"/>
    </xf>
    <xf numFmtId="0" fontId="32" fillId="0" borderId="21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218" xfId="0" applyFont="1" applyFill="1" applyBorder="1" applyAlignment="1">
      <alignment horizontal="center" vertical="center"/>
    </xf>
    <xf numFmtId="0" fontId="21" fillId="0" borderId="212" xfId="15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15" fillId="0" borderId="212" xfId="0" applyFont="1" applyFill="1" applyBorder="1" applyAlignment="1">
      <alignment horizontal="center" vertical="center"/>
    </xf>
    <xf numFmtId="0" fontId="0" fillId="0" borderId="296" xfId="0" applyFill="1" applyBorder="1" applyAlignment="1">
      <alignment horizontal="center" vertical="center"/>
    </xf>
    <xf numFmtId="0" fontId="0" fillId="0" borderId="221" xfId="0" applyFill="1" applyBorder="1" applyAlignment="1">
      <alignment horizontal="center" vertical="center"/>
    </xf>
    <xf numFmtId="0" fontId="9" fillId="0" borderId="9" xfId="24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410" xfId="24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74" xfId="24" applyFont="1" applyFill="1" applyBorder="1" applyAlignment="1">
      <alignment horizontal="center" vertical="center" wrapText="1"/>
    </xf>
    <xf numFmtId="0" fontId="0" fillId="0" borderId="231" xfId="0" applyBorder="1" applyAlignment="1">
      <alignment horizontal="center" vertical="center" wrapText="1"/>
    </xf>
    <xf numFmtId="0" fontId="14" fillId="0" borderId="401" xfId="0" applyFont="1" applyBorder="1" applyAlignment="1">
      <alignment horizontal="center" vertical="center"/>
    </xf>
    <xf numFmtId="0" fontId="14" fillId="0" borderId="405" xfId="0" applyFont="1" applyBorder="1" applyAlignment="1">
      <alignment horizontal="center" vertical="center"/>
    </xf>
    <xf numFmtId="0" fontId="14" fillId="0" borderId="402" xfId="0" applyFont="1" applyBorder="1" applyAlignment="1">
      <alignment horizontal="center" vertical="center"/>
    </xf>
    <xf numFmtId="0" fontId="14" fillId="0" borderId="403" xfId="0" applyFont="1" applyBorder="1" applyAlignment="1">
      <alignment horizontal="center" vertical="center"/>
    </xf>
    <xf numFmtId="0" fontId="14" fillId="0" borderId="404" xfId="0" applyFont="1" applyBorder="1" applyAlignment="1">
      <alignment horizontal="center" vertical="center"/>
    </xf>
    <xf numFmtId="0" fontId="77" fillId="0" borderId="438" xfId="34" applyFont="1" applyBorder="1" applyAlignment="1">
      <alignment horizontal="center" vertical="center" wrapText="1"/>
    </xf>
    <xf numFmtId="0" fontId="77" fillId="0" borderId="443" xfId="34" applyFont="1" applyBorder="1" applyAlignment="1">
      <alignment horizontal="center" vertical="center" wrapText="1"/>
    </xf>
    <xf numFmtId="0" fontId="13" fillId="0" borderId="429" xfId="33" applyFont="1" applyFill="1" applyBorder="1" applyAlignment="1">
      <alignment horizontal="center" vertical="center" wrapText="1"/>
    </xf>
    <xf numFmtId="0" fontId="65" fillId="0" borderId="439" xfId="34" applyFont="1" applyFill="1" applyBorder="1" applyAlignment="1">
      <alignment horizontal="center" vertical="center" wrapText="1"/>
    </xf>
    <xf numFmtId="0" fontId="9" fillId="0" borderId="430" xfId="33" applyFill="1" applyBorder="1" applyAlignment="1">
      <alignment horizontal="center" vertical="center"/>
    </xf>
    <xf numFmtId="0" fontId="2" fillId="0" borderId="440" xfId="34" applyFill="1" applyBorder="1" applyAlignment="1">
      <alignment horizontal="center" vertical="center"/>
    </xf>
    <xf numFmtId="3" fontId="9" fillId="0" borderId="433" xfId="33" applyNumberFormat="1" applyFill="1" applyBorder="1" applyAlignment="1">
      <alignment horizontal="center" vertical="center" wrapText="1"/>
    </xf>
    <xf numFmtId="0" fontId="2" fillId="0" borderId="441" xfId="34" applyBorder="1" applyAlignment="1">
      <alignment vertical="center" wrapText="1"/>
    </xf>
    <xf numFmtId="3" fontId="9" fillId="0" borderId="434" xfId="33" applyNumberFormat="1" applyFont="1" applyFill="1" applyBorder="1" applyAlignment="1">
      <alignment horizontal="center" vertical="center"/>
    </xf>
    <xf numFmtId="3" fontId="2" fillId="0" borderId="435" xfId="34" applyNumberFormat="1" applyFill="1" applyBorder="1" applyAlignment="1"/>
    <xf numFmtId="3" fontId="9" fillId="0" borderId="434" xfId="33" applyNumberFormat="1" applyFont="1" applyFill="1" applyBorder="1" applyAlignment="1">
      <alignment horizontal="center" vertical="center" wrapText="1"/>
    </xf>
    <xf numFmtId="3" fontId="2" fillId="0" borderId="436" xfId="34" applyNumberFormat="1" applyFill="1" applyBorder="1" applyAlignment="1">
      <alignment wrapText="1"/>
    </xf>
    <xf numFmtId="0" fontId="77" fillId="0" borderId="437" xfId="34" applyFont="1" applyBorder="1" applyAlignment="1">
      <alignment horizontal="center" vertical="center" wrapText="1"/>
    </xf>
    <xf numFmtId="0" fontId="77" fillId="0" borderId="442" xfId="34" applyFont="1" applyBorder="1" applyAlignment="1">
      <alignment horizontal="center" vertical="center" wrapText="1"/>
    </xf>
  </cellXfs>
  <cellStyles count="40">
    <cellStyle name="Egész" xfId="1"/>
    <cellStyle name="Egész,10" xfId="2"/>
    <cellStyle name="Egész,10 2" xfId="31"/>
    <cellStyle name="Egész,10 3" xfId="37"/>
    <cellStyle name="Egész_kv.2013végleges" xfId="3"/>
    <cellStyle name="Ezres" xfId="21" builtinId="3"/>
    <cellStyle name="Irható,egész,10" xfId="4"/>
    <cellStyle name="Irható,egész,10 2" xfId="30"/>
    <cellStyle name="Irható,egész,10 3" xfId="36"/>
    <cellStyle name="Nem használt" xfId="5"/>
    <cellStyle name="Normál" xfId="0" builtinId="0"/>
    <cellStyle name="Normál 2" xfId="22"/>
    <cellStyle name="Normál 2 2" xfId="23"/>
    <cellStyle name="Normál 2 3" xfId="27"/>
    <cellStyle name="Normál 3" xfId="38"/>
    <cellStyle name="Normál 4" xfId="34"/>
    <cellStyle name="Normál 5" xfId="39"/>
    <cellStyle name="Normál_2004. évi állami hozzájárulás (MÁK 2003.x.31.)" xfId="6"/>
    <cellStyle name="Normál_2012%20évi%20%20költségvetés.mell.ÖNK-PH(1)" xfId="7"/>
    <cellStyle name="Százalék(2),10" xfId="8"/>
    <cellStyle name="Szöveg balra,10" xfId="9"/>
    <cellStyle name="Szöveg balra,10 2" xfId="26"/>
    <cellStyle name="Szöveg balra,10 3" xfId="35"/>
    <cellStyle name="Szöveg balra,10_KIEG2000V 2" xfId="25"/>
    <cellStyle name="Szöveg balra,12" xfId="10"/>
    <cellStyle name="Szöveg balra,12 2" xfId="32"/>
    <cellStyle name="Szöveg balra,16" xfId="11"/>
    <cellStyle name="Szöveg balra,16 2" xfId="28"/>
    <cellStyle name="Szöveg balra,sortör.,10" xfId="12"/>
    <cellStyle name="Szöveg függ.,12" xfId="13"/>
    <cellStyle name="Szöveg közép,10" xfId="14"/>
    <cellStyle name="Szöveg középen,12" xfId="15"/>
    <cellStyle name="Szöveg középen,12 2" xfId="24"/>
    <cellStyle name="Szöveg középen,12 3" xfId="33"/>
    <cellStyle name="Szöveg,függ,12" xfId="16"/>
    <cellStyle name="Szöveg,függ,12 2" xfId="29"/>
    <cellStyle name="Tört(1) irható,10" xfId="17"/>
    <cellStyle name="Tört(1),10" xfId="18"/>
    <cellStyle name="Üres" xfId="19"/>
    <cellStyle name="Üres, szegéllyel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45" name="AutoShape 1">
          <a:extLst>
            <a:ext uri="{FF2B5EF4-FFF2-40B4-BE49-F238E27FC236}">
              <a16:creationId xmlns:a16="http://schemas.microsoft.com/office/drawing/2014/main" id="{00000000-0008-0000-0800-0000C1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46" name="AutoShape 2">
          <a:extLst>
            <a:ext uri="{FF2B5EF4-FFF2-40B4-BE49-F238E27FC236}">
              <a16:creationId xmlns:a16="http://schemas.microsoft.com/office/drawing/2014/main" id="{00000000-0008-0000-0800-0000C2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47" name="AutoShape 3">
          <a:extLst>
            <a:ext uri="{FF2B5EF4-FFF2-40B4-BE49-F238E27FC236}">
              <a16:creationId xmlns:a16="http://schemas.microsoft.com/office/drawing/2014/main" id="{00000000-0008-0000-0800-0000C3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48" name="AutoShape 4">
          <a:extLst>
            <a:ext uri="{FF2B5EF4-FFF2-40B4-BE49-F238E27FC236}">
              <a16:creationId xmlns:a16="http://schemas.microsoft.com/office/drawing/2014/main" id="{00000000-0008-0000-0800-0000C4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49" name="AutoShape 5">
          <a:extLst>
            <a:ext uri="{FF2B5EF4-FFF2-40B4-BE49-F238E27FC236}">
              <a16:creationId xmlns:a16="http://schemas.microsoft.com/office/drawing/2014/main" id="{00000000-0008-0000-0800-0000C5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0" name="AutoShape 6">
          <a:extLst>
            <a:ext uri="{FF2B5EF4-FFF2-40B4-BE49-F238E27FC236}">
              <a16:creationId xmlns:a16="http://schemas.microsoft.com/office/drawing/2014/main" id="{00000000-0008-0000-0800-0000C6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1" name="AutoShape 7">
          <a:extLst>
            <a:ext uri="{FF2B5EF4-FFF2-40B4-BE49-F238E27FC236}">
              <a16:creationId xmlns:a16="http://schemas.microsoft.com/office/drawing/2014/main" id="{00000000-0008-0000-0800-0000C70B0100}"/>
            </a:ext>
          </a:extLst>
        </xdr:cNvPr>
        <xdr:cNvSpPr>
          <a:spLocks/>
        </xdr:cNvSpPr>
      </xdr:nvSpPr>
      <xdr:spPr bwMode="auto">
        <a:xfrm>
          <a:off x="0" y="29689425"/>
          <a:ext cx="0" cy="5619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2" name="AutoShape 8">
          <a:extLst>
            <a:ext uri="{FF2B5EF4-FFF2-40B4-BE49-F238E27FC236}">
              <a16:creationId xmlns:a16="http://schemas.microsoft.com/office/drawing/2014/main" id="{00000000-0008-0000-0800-0000C8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3" name="AutoShape 9">
          <a:extLst>
            <a:ext uri="{FF2B5EF4-FFF2-40B4-BE49-F238E27FC236}">
              <a16:creationId xmlns:a16="http://schemas.microsoft.com/office/drawing/2014/main" id="{00000000-0008-0000-0800-0000C90B0100}"/>
            </a:ext>
          </a:extLst>
        </xdr:cNvPr>
        <xdr:cNvSpPr>
          <a:spLocks/>
        </xdr:cNvSpPr>
      </xdr:nvSpPr>
      <xdr:spPr bwMode="auto">
        <a:xfrm>
          <a:off x="0" y="28270200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4" name="AutoShape 10">
          <a:extLst>
            <a:ext uri="{FF2B5EF4-FFF2-40B4-BE49-F238E27FC236}">
              <a16:creationId xmlns:a16="http://schemas.microsoft.com/office/drawing/2014/main" id="{00000000-0008-0000-0800-0000CA0B0100}"/>
            </a:ext>
          </a:extLst>
        </xdr:cNvPr>
        <xdr:cNvSpPr>
          <a:spLocks/>
        </xdr:cNvSpPr>
      </xdr:nvSpPr>
      <xdr:spPr bwMode="auto">
        <a:xfrm>
          <a:off x="0" y="29832300"/>
          <a:ext cx="0" cy="4191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5" name="AutoShape 11">
          <a:extLst>
            <a:ext uri="{FF2B5EF4-FFF2-40B4-BE49-F238E27FC236}">
              <a16:creationId xmlns:a16="http://schemas.microsoft.com/office/drawing/2014/main" id="{00000000-0008-0000-0800-0000CB0B0100}"/>
            </a:ext>
          </a:extLst>
        </xdr:cNvPr>
        <xdr:cNvSpPr>
          <a:spLocks/>
        </xdr:cNvSpPr>
      </xdr:nvSpPr>
      <xdr:spPr bwMode="auto">
        <a:xfrm>
          <a:off x="0" y="320706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6" name="AutoShape 12">
          <a:extLst>
            <a:ext uri="{FF2B5EF4-FFF2-40B4-BE49-F238E27FC236}">
              <a16:creationId xmlns:a16="http://schemas.microsoft.com/office/drawing/2014/main" id="{00000000-0008-0000-0800-0000CC0B0100}"/>
            </a:ext>
          </a:extLst>
        </xdr:cNvPr>
        <xdr:cNvSpPr>
          <a:spLocks/>
        </xdr:cNvSpPr>
      </xdr:nvSpPr>
      <xdr:spPr bwMode="auto">
        <a:xfrm>
          <a:off x="0" y="29756100"/>
          <a:ext cx="0" cy="4953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7" name="AutoShape 13">
          <a:extLst>
            <a:ext uri="{FF2B5EF4-FFF2-40B4-BE49-F238E27FC236}">
              <a16:creationId xmlns:a16="http://schemas.microsoft.com/office/drawing/2014/main" id="{00000000-0008-0000-0800-0000CD0B0100}"/>
            </a:ext>
          </a:extLst>
        </xdr:cNvPr>
        <xdr:cNvSpPr>
          <a:spLocks/>
        </xdr:cNvSpPr>
      </xdr:nvSpPr>
      <xdr:spPr bwMode="auto">
        <a:xfrm>
          <a:off x="0" y="2856547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8" name="AutoShape 14">
          <a:extLst>
            <a:ext uri="{FF2B5EF4-FFF2-40B4-BE49-F238E27FC236}">
              <a16:creationId xmlns:a16="http://schemas.microsoft.com/office/drawing/2014/main" id="{00000000-0008-0000-0800-0000CE0B0100}"/>
            </a:ext>
          </a:extLst>
        </xdr:cNvPr>
        <xdr:cNvSpPr>
          <a:spLocks/>
        </xdr:cNvSpPr>
      </xdr:nvSpPr>
      <xdr:spPr bwMode="auto">
        <a:xfrm>
          <a:off x="0" y="28270200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59" name="AutoShape 15">
          <a:extLst>
            <a:ext uri="{FF2B5EF4-FFF2-40B4-BE49-F238E27FC236}">
              <a16:creationId xmlns:a16="http://schemas.microsoft.com/office/drawing/2014/main" id="{00000000-0008-0000-0800-0000CF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0" name="AutoShape 16">
          <a:extLst>
            <a:ext uri="{FF2B5EF4-FFF2-40B4-BE49-F238E27FC236}">
              <a16:creationId xmlns:a16="http://schemas.microsoft.com/office/drawing/2014/main" id="{00000000-0008-0000-0800-0000D0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1" name="AutoShape 17">
          <a:extLst>
            <a:ext uri="{FF2B5EF4-FFF2-40B4-BE49-F238E27FC236}">
              <a16:creationId xmlns:a16="http://schemas.microsoft.com/office/drawing/2014/main" id="{00000000-0008-0000-0800-0000D1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2" name="AutoShape 18">
          <a:extLst>
            <a:ext uri="{FF2B5EF4-FFF2-40B4-BE49-F238E27FC236}">
              <a16:creationId xmlns:a16="http://schemas.microsoft.com/office/drawing/2014/main" id="{00000000-0008-0000-0800-0000D2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3" name="AutoShape 19">
          <a:extLst>
            <a:ext uri="{FF2B5EF4-FFF2-40B4-BE49-F238E27FC236}">
              <a16:creationId xmlns:a16="http://schemas.microsoft.com/office/drawing/2014/main" id="{00000000-0008-0000-0800-0000D3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4" name="AutoShape 20">
          <a:extLst>
            <a:ext uri="{FF2B5EF4-FFF2-40B4-BE49-F238E27FC236}">
              <a16:creationId xmlns:a16="http://schemas.microsoft.com/office/drawing/2014/main" id="{00000000-0008-0000-0800-0000D4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5" name="AutoShape 21">
          <a:extLst>
            <a:ext uri="{FF2B5EF4-FFF2-40B4-BE49-F238E27FC236}">
              <a16:creationId xmlns:a16="http://schemas.microsoft.com/office/drawing/2014/main" id="{00000000-0008-0000-0800-0000D5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6" name="AutoShape 26">
          <a:extLst>
            <a:ext uri="{FF2B5EF4-FFF2-40B4-BE49-F238E27FC236}">
              <a16:creationId xmlns:a16="http://schemas.microsoft.com/office/drawing/2014/main" id="{00000000-0008-0000-0800-0000D6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7" name="AutoShape 27">
          <a:extLst>
            <a:ext uri="{FF2B5EF4-FFF2-40B4-BE49-F238E27FC236}">
              <a16:creationId xmlns:a16="http://schemas.microsoft.com/office/drawing/2014/main" id="{00000000-0008-0000-0800-0000D7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8" name="AutoShape 28">
          <a:extLst>
            <a:ext uri="{FF2B5EF4-FFF2-40B4-BE49-F238E27FC236}">
              <a16:creationId xmlns:a16="http://schemas.microsoft.com/office/drawing/2014/main" id="{00000000-0008-0000-0800-0000D8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69" name="AutoShape 29">
          <a:extLst>
            <a:ext uri="{FF2B5EF4-FFF2-40B4-BE49-F238E27FC236}">
              <a16:creationId xmlns:a16="http://schemas.microsoft.com/office/drawing/2014/main" id="{00000000-0008-0000-0800-0000D9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0" name="AutoShape 30">
          <a:extLst>
            <a:ext uri="{FF2B5EF4-FFF2-40B4-BE49-F238E27FC236}">
              <a16:creationId xmlns:a16="http://schemas.microsoft.com/office/drawing/2014/main" id="{00000000-0008-0000-0800-0000DA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1" name="AutoShape 31">
          <a:extLst>
            <a:ext uri="{FF2B5EF4-FFF2-40B4-BE49-F238E27FC236}">
              <a16:creationId xmlns:a16="http://schemas.microsoft.com/office/drawing/2014/main" id="{00000000-0008-0000-0800-0000DB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2" name="AutoShape 32">
          <a:extLst>
            <a:ext uri="{FF2B5EF4-FFF2-40B4-BE49-F238E27FC236}">
              <a16:creationId xmlns:a16="http://schemas.microsoft.com/office/drawing/2014/main" id="{00000000-0008-0000-0800-0000DC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3" name="AutoShape 33">
          <a:extLst>
            <a:ext uri="{FF2B5EF4-FFF2-40B4-BE49-F238E27FC236}">
              <a16:creationId xmlns:a16="http://schemas.microsoft.com/office/drawing/2014/main" id="{00000000-0008-0000-0800-0000DD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4" name="AutoShape 34">
          <a:extLst>
            <a:ext uri="{FF2B5EF4-FFF2-40B4-BE49-F238E27FC236}">
              <a16:creationId xmlns:a16="http://schemas.microsoft.com/office/drawing/2014/main" id="{00000000-0008-0000-0800-0000DE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5" name="AutoShape 35">
          <a:extLst>
            <a:ext uri="{FF2B5EF4-FFF2-40B4-BE49-F238E27FC236}">
              <a16:creationId xmlns:a16="http://schemas.microsoft.com/office/drawing/2014/main" id="{00000000-0008-0000-0800-0000DF0B0100}"/>
            </a:ext>
          </a:extLst>
        </xdr:cNvPr>
        <xdr:cNvSpPr>
          <a:spLocks/>
        </xdr:cNvSpPr>
      </xdr:nvSpPr>
      <xdr:spPr bwMode="auto">
        <a:xfrm>
          <a:off x="0" y="2085022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6" name="AutoShape 36">
          <a:extLst>
            <a:ext uri="{FF2B5EF4-FFF2-40B4-BE49-F238E27FC236}">
              <a16:creationId xmlns:a16="http://schemas.microsoft.com/office/drawing/2014/main" id="{00000000-0008-0000-0800-0000E00B0100}"/>
            </a:ext>
          </a:extLst>
        </xdr:cNvPr>
        <xdr:cNvSpPr>
          <a:spLocks/>
        </xdr:cNvSpPr>
      </xdr:nvSpPr>
      <xdr:spPr bwMode="auto">
        <a:xfrm>
          <a:off x="0" y="23622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7" name="AutoShape 37">
          <a:extLst>
            <a:ext uri="{FF2B5EF4-FFF2-40B4-BE49-F238E27FC236}">
              <a16:creationId xmlns:a16="http://schemas.microsoft.com/office/drawing/2014/main" id="{00000000-0008-0000-0800-0000E10B0100}"/>
            </a:ext>
          </a:extLst>
        </xdr:cNvPr>
        <xdr:cNvSpPr>
          <a:spLocks/>
        </xdr:cNvSpPr>
      </xdr:nvSpPr>
      <xdr:spPr bwMode="auto">
        <a:xfrm>
          <a:off x="0" y="20774025"/>
          <a:ext cx="0" cy="6286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8" name="AutoShape 38">
          <a:extLst>
            <a:ext uri="{FF2B5EF4-FFF2-40B4-BE49-F238E27FC236}">
              <a16:creationId xmlns:a16="http://schemas.microsoft.com/office/drawing/2014/main" id="{00000000-0008-0000-0800-0000E2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79" name="AutoShape 39">
          <a:extLst>
            <a:ext uri="{FF2B5EF4-FFF2-40B4-BE49-F238E27FC236}">
              <a16:creationId xmlns:a16="http://schemas.microsoft.com/office/drawing/2014/main" id="{00000000-0008-0000-0800-0000E3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0" name="AutoShape 40">
          <a:extLst>
            <a:ext uri="{FF2B5EF4-FFF2-40B4-BE49-F238E27FC236}">
              <a16:creationId xmlns:a16="http://schemas.microsoft.com/office/drawing/2014/main" id="{00000000-0008-0000-0800-0000E40B0100}"/>
            </a:ext>
          </a:extLst>
        </xdr:cNvPr>
        <xdr:cNvSpPr>
          <a:spLocks/>
        </xdr:cNvSpPr>
      </xdr:nvSpPr>
      <xdr:spPr bwMode="auto">
        <a:xfrm>
          <a:off x="0" y="36328350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1" name="AutoShape 41">
          <a:extLst>
            <a:ext uri="{FF2B5EF4-FFF2-40B4-BE49-F238E27FC236}">
              <a16:creationId xmlns:a16="http://schemas.microsoft.com/office/drawing/2014/main" id="{00000000-0008-0000-0800-0000E50B0100}"/>
            </a:ext>
          </a:extLst>
        </xdr:cNvPr>
        <xdr:cNvSpPr>
          <a:spLocks/>
        </xdr:cNvSpPr>
      </xdr:nvSpPr>
      <xdr:spPr bwMode="auto">
        <a:xfrm>
          <a:off x="0" y="36709350"/>
          <a:ext cx="0" cy="18573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2" name="AutoShape 42">
          <a:extLst>
            <a:ext uri="{FF2B5EF4-FFF2-40B4-BE49-F238E27FC236}">
              <a16:creationId xmlns:a16="http://schemas.microsoft.com/office/drawing/2014/main" id="{00000000-0008-0000-0800-0000E60B0100}"/>
            </a:ext>
          </a:extLst>
        </xdr:cNvPr>
        <xdr:cNvSpPr>
          <a:spLocks/>
        </xdr:cNvSpPr>
      </xdr:nvSpPr>
      <xdr:spPr bwMode="auto">
        <a:xfrm>
          <a:off x="0" y="36328350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3" name="AutoShape 43">
          <a:extLst>
            <a:ext uri="{FF2B5EF4-FFF2-40B4-BE49-F238E27FC236}">
              <a16:creationId xmlns:a16="http://schemas.microsoft.com/office/drawing/2014/main" id="{00000000-0008-0000-0800-0000E70B0100}"/>
            </a:ext>
          </a:extLst>
        </xdr:cNvPr>
        <xdr:cNvSpPr>
          <a:spLocks/>
        </xdr:cNvSpPr>
      </xdr:nvSpPr>
      <xdr:spPr bwMode="auto">
        <a:xfrm>
          <a:off x="0" y="36709350"/>
          <a:ext cx="0" cy="18573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4" name="AutoShape 44">
          <a:extLst>
            <a:ext uri="{FF2B5EF4-FFF2-40B4-BE49-F238E27FC236}">
              <a16:creationId xmlns:a16="http://schemas.microsoft.com/office/drawing/2014/main" id="{00000000-0008-0000-0800-0000E8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5" name="AutoShape 45">
          <a:extLst>
            <a:ext uri="{FF2B5EF4-FFF2-40B4-BE49-F238E27FC236}">
              <a16:creationId xmlns:a16="http://schemas.microsoft.com/office/drawing/2014/main" id="{00000000-0008-0000-0800-0000E90B0100}"/>
            </a:ext>
          </a:extLst>
        </xdr:cNvPr>
        <xdr:cNvSpPr>
          <a:spLocks/>
        </xdr:cNvSpPr>
      </xdr:nvSpPr>
      <xdr:spPr bwMode="auto">
        <a:xfrm>
          <a:off x="0" y="37328475"/>
          <a:ext cx="0" cy="12477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6" name="AutoShape 46">
          <a:extLst>
            <a:ext uri="{FF2B5EF4-FFF2-40B4-BE49-F238E27FC236}">
              <a16:creationId xmlns:a16="http://schemas.microsoft.com/office/drawing/2014/main" id="{00000000-0008-0000-0800-0000EA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7" name="AutoShape 51">
          <a:extLst>
            <a:ext uri="{FF2B5EF4-FFF2-40B4-BE49-F238E27FC236}">
              <a16:creationId xmlns:a16="http://schemas.microsoft.com/office/drawing/2014/main" id="{00000000-0008-0000-0800-0000EB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8" name="AutoShape 52">
          <a:extLst>
            <a:ext uri="{FF2B5EF4-FFF2-40B4-BE49-F238E27FC236}">
              <a16:creationId xmlns:a16="http://schemas.microsoft.com/office/drawing/2014/main" id="{00000000-0008-0000-0800-0000EC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89" name="AutoShape 53">
          <a:extLst>
            <a:ext uri="{FF2B5EF4-FFF2-40B4-BE49-F238E27FC236}">
              <a16:creationId xmlns:a16="http://schemas.microsoft.com/office/drawing/2014/main" id="{00000000-0008-0000-0800-0000ED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0" name="AutoShape 54">
          <a:extLst>
            <a:ext uri="{FF2B5EF4-FFF2-40B4-BE49-F238E27FC236}">
              <a16:creationId xmlns:a16="http://schemas.microsoft.com/office/drawing/2014/main" id="{00000000-0008-0000-0800-0000EE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1" name="AutoShape 55">
          <a:extLst>
            <a:ext uri="{FF2B5EF4-FFF2-40B4-BE49-F238E27FC236}">
              <a16:creationId xmlns:a16="http://schemas.microsoft.com/office/drawing/2014/main" id="{00000000-0008-0000-0800-0000EF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2" name="AutoShape 56">
          <a:extLst>
            <a:ext uri="{FF2B5EF4-FFF2-40B4-BE49-F238E27FC236}">
              <a16:creationId xmlns:a16="http://schemas.microsoft.com/office/drawing/2014/main" id="{00000000-0008-0000-0800-0000F0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3" name="AutoShape 57">
          <a:extLst>
            <a:ext uri="{FF2B5EF4-FFF2-40B4-BE49-F238E27FC236}">
              <a16:creationId xmlns:a16="http://schemas.microsoft.com/office/drawing/2014/main" id="{00000000-0008-0000-0800-0000F10B0100}"/>
            </a:ext>
          </a:extLst>
        </xdr:cNvPr>
        <xdr:cNvSpPr>
          <a:spLocks/>
        </xdr:cNvSpPr>
      </xdr:nvSpPr>
      <xdr:spPr bwMode="auto">
        <a:xfrm>
          <a:off x="0" y="2064067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4" name="AutoShape 58">
          <a:extLst>
            <a:ext uri="{FF2B5EF4-FFF2-40B4-BE49-F238E27FC236}">
              <a16:creationId xmlns:a16="http://schemas.microsoft.com/office/drawing/2014/main" id="{00000000-0008-0000-0800-0000F2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5" name="AutoShape 59">
          <a:extLst>
            <a:ext uri="{FF2B5EF4-FFF2-40B4-BE49-F238E27FC236}">
              <a16:creationId xmlns:a16="http://schemas.microsoft.com/office/drawing/2014/main" id="{00000000-0008-0000-0800-0000F3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6" name="AutoShape 60">
          <a:extLst>
            <a:ext uri="{FF2B5EF4-FFF2-40B4-BE49-F238E27FC236}">
              <a16:creationId xmlns:a16="http://schemas.microsoft.com/office/drawing/2014/main" id="{00000000-0008-0000-0800-0000F40B0100}"/>
            </a:ext>
          </a:extLst>
        </xdr:cNvPr>
        <xdr:cNvSpPr>
          <a:spLocks/>
        </xdr:cNvSpPr>
      </xdr:nvSpPr>
      <xdr:spPr bwMode="auto">
        <a:xfrm>
          <a:off x="0" y="2085022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7" name="AutoShape 61">
          <a:extLst>
            <a:ext uri="{FF2B5EF4-FFF2-40B4-BE49-F238E27FC236}">
              <a16:creationId xmlns:a16="http://schemas.microsoft.com/office/drawing/2014/main" id="{00000000-0008-0000-0800-0000F50B0100}"/>
            </a:ext>
          </a:extLst>
        </xdr:cNvPr>
        <xdr:cNvSpPr>
          <a:spLocks/>
        </xdr:cNvSpPr>
      </xdr:nvSpPr>
      <xdr:spPr bwMode="auto">
        <a:xfrm>
          <a:off x="0" y="24250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8" name="AutoShape 62">
          <a:extLst>
            <a:ext uri="{FF2B5EF4-FFF2-40B4-BE49-F238E27FC236}">
              <a16:creationId xmlns:a16="http://schemas.microsoft.com/office/drawing/2014/main" id="{00000000-0008-0000-0800-0000F60B0100}"/>
            </a:ext>
          </a:extLst>
        </xdr:cNvPr>
        <xdr:cNvSpPr>
          <a:spLocks/>
        </xdr:cNvSpPr>
      </xdr:nvSpPr>
      <xdr:spPr bwMode="auto">
        <a:xfrm>
          <a:off x="0" y="20774025"/>
          <a:ext cx="0" cy="628650"/>
        </a:xfrm>
        <a:prstGeom prst="rightBrace">
          <a:avLst>
            <a:gd name="adj1" fmla="val -2147483648"/>
            <a:gd name="adj2" fmla="val 7884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599" name="AutoShape 63">
          <a:extLst>
            <a:ext uri="{FF2B5EF4-FFF2-40B4-BE49-F238E27FC236}">
              <a16:creationId xmlns:a16="http://schemas.microsoft.com/office/drawing/2014/main" id="{00000000-0008-0000-0800-0000F70B0100}"/>
            </a:ext>
          </a:extLst>
        </xdr:cNvPr>
        <xdr:cNvSpPr>
          <a:spLocks/>
        </xdr:cNvSpPr>
      </xdr:nvSpPr>
      <xdr:spPr bwMode="auto">
        <a:xfrm>
          <a:off x="0" y="19250025"/>
          <a:ext cx="0" cy="2667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0" name="AutoShape 64">
          <a:extLst>
            <a:ext uri="{FF2B5EF4-FFF2-40B4-BE49-F238E27FC236}">
              <a16:creationId xmlns:a16="http://schemas.microsoft.com/office/drawing/2014/main" id="{00000000-0008-0000-0800-0000F80B0100}"/>
            </a:ext>
          </a:extLst>
        </xdr:cNvPr>
        <xdr:cNvSpPr>
          <a:spLocks/>
        </xdr:cNvSpPr>
      </xdr:nvSpPr>
      <xdr:spPr bwMode="auto">
        <a:xfrm>
          <a:off x="0" y="18888075"/>
          <a:ext cx="0" cy="1619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1" name="AutoShape 65">
          <a:extLst>
            <a:ext uri="{FF2B5EF4-FFF2-40B4-BE49-F238E27FC236}">
              <a16:creationId xmlns:a16="http://schemas.microsoft.com/office/drawing/2014/main" id="{00000000-0008-0000-0800-0000F90B0100}"/>
            </a:ext>
          </a:extLst>
        </xdr:cNvPr>
        <xdr:cNvSpPr>
          <a:spLocks/>
        </xdr:cNvSpPr>
      </xdr:nvSpPr>
      <xdr:spPr bwMode="auto">
        <a:xfrm>
          <a:off x="0" y="37118925"/>
          <a:ext cx="0" cy="2095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2" name="AutoShape 66">
          <a:extLst>
            <a:ext uri="{FF2B5EF4-FFF2-40B4-BE49-F238E27FC236}">
              <a16:creationId xmlns:a16="http://schemas.microsoft.com/office/drawing/2014/main" id="{00000000-0008-0000-0800-0000FA0B0100}"/>
            </a:ext>
          </a:extLst>
        </xdr:cNvPr>
        <xdr:cNvSpPr>
          <a:spLocks/>
        </xdr:cNvSpPr>
      </xdr:nvSpPr>
      <xdr:spPr bwMode="auto">
        <a:xfrm>
          <a:off x="0" y="37461825"/>
          <a:ext cx="0" cy="17716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3" name="AutoShape 67">
          <a:extLst>
            <a:ext uri="{FF2B5EF4-FFF2-40B4-BE49-F238E27FC236}">
              <a16:creationId xmlns:a16="http://schemas.microsoft.com/office/drawing/2014/main" id="{00000000-0008-0000-0800-0000FB0B0100}"/>
            </a:ext>
          </a:extLst>
        </xdr:cNvPr>
        <xdr:cNvSpPr>
          <a:spLocks/>
        </xdr:cNvSpPr>
      </xdr:nvSpPr>
      <xdr:spPr bwMode="auto">
        <a:xfrm>
          <a:off x="0" y="37118925"/>
          <a:ext cx="0" cy="2095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4" name="AutoShape 68">
          <a:extLst>
            <a:ext uri="{FF2B5EF4-FFF2-40B4-BE49-F238E27FC236}">
              <a16:creationId xmlns:a16="http://schemas.microsoft.com/office/drawing/2014/main" id="{00000000-0008-0000-0800-0000FC0B0100}"/>
            </a:ext>
          </a:extLst>
        </xdr:cNvPr>
        <xdr:cNvSpPr>
          <a:spLocks/>
        </xdr:cNvSpPr>
      </xdr:nvSpPr>
      <xdr:spPr bwMode="auto">
        <a:xfrm>
          <a:off x="0" y="37461825"/>
          <a:ext cx="0" cy="17716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5" name="AutoShape 69">
          <a:extLst>
            <a:ext uri="{FF2B5EF4-FFF2-40B4-BE49-F238E27FC236}">
              <a16:creationId xmlns:a16="http://schemas.microsoft.com/office/drawing/2014/main" id="{00000000-0008-0000-0800-0000FD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6" name="AutoShape 70">
          <a:extLst>
            <a:ext uri="{FF2B5EF4-FFF2-40B4-BE49-F238E27FC236}">
              <a16:creationId xmlns:a16="http://schemas.microsoft.com/office/drawing/2014/main" id="{00000000-0008-0000-0800-0000FE0B0100}"/>
            </a:ext>
          </a:extLst>
        </xdr:cNvPr>
        <xdr:cNvSpPr>
          <a:spLocks/>
        </xdr:cNvSpPr>
      </xdr:nvSpPr>
      <xdr:spPr bwMode="auto">
        <a:xfrm>
          <a:off x="0" y="37909500"/>
          <a:ext cx="0" cy="13335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68607" name="AutoShape 71">
          <a:extLst>
            <a:ext uri="{FF2B5EF4-FFF2-40B4-BE49-F238E27FC236}">
              <a16:creationId xmlns:a16="http://schemas.microsoft.com/office/drawing/2014/main" id="{00000000-0008-0000-0800-0000FF0B0100}"/>
            </a:ext>
          </a:extLst>
        </xdr:cNvPr>
        <xdr:cNvSpPr>
          <a:spLocks/>
        </xdr:cNvSpPr>
      </xdr:nvSpPr>
      <xdr:spPr bwMode="auto">
        <a:xfrm>
          <a:off x="0" y="39843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71680" name="AutoShape 75">
          <a:extLst>
            <a:ext uri="{FF2B5EF4-FFF2-40B4-BE49-F238E27FC236}">
              <a16:creationId xmlns:a16="http://schemas.microsoft.com/office/drawing/2014/main" id="{00000000-0008-0000-0800-000000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1" name="AutoShape 76">
          <a:extLst>
            <a:ext uri="{FF2B5EF4-FFF2-40B4-BE49-F238E27FC236}">
              <a16:creationId xmlns:a16="http://schemas.microsoft.com/office/drawing/2014/main" id="{00000000-0008-0000-0800-000001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2" name="AutoShape 77">
          <a:extLst>
            <a:ext uri="{FF2B5EF4-FFF2-40B4-BE49-F238E27FC236}">
              <a16:creationId xmlns:a16="http://schemas.microsoft.com/office/drawing/2014/main" id="{00000000-0008-0000-0800-000002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71683" name="AutoShape 78">
          <a:extLst>
            <a:ext uri="{FF2B5EF4-FFF2-40B4-BE49-F238E27FC236}">
              <a16:creationId xmlns:a16="http://schemas.microsoft.com/office/drawing/2014/main" id="{00000000-0008-0000-0800-000003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4" name="AutoShape 79">
          <a:extLst>
            <a:ext uri="{FF2B5EF4-FFF2-40B4-BE49-F238E27FC236}">
              <a16:creationId xmlns:a16="http://schemas.microsoft.com/office/drawing/2014/main" id="{00000000-0008-0000-0800-000004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71685" name="AutoShape 80">
          <a:extLst>
            <a:ext uri="{FF2B5EF4-FFF2-40B4-BE49-F238E27FC236}">
              <a16:creationId xmlns:a16="http://schemas.microsoft.com/office/drawing/2014/main" id="{00000000-0008-0000-0800-000005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6" name="AutoShape 81">
          <a:extLst>
            <a:ext uri="{FF2B5EF4-FFF2-40B4-BE49-F238E27FC236}">
              <a16:creationId xmlns:a16="http://schemas.microsoft.com/office/drawing/2014/main" id="{00000000-0008-0000-0800-000006180100}"/>
            </a:ext>
          </a:extLst>
        </xdr:cNvPr>
        <xdr:cNvSpPr>
          <a:spLocks/>
        </xdr:cNvSpPr>
      </xdr:nvSpPr>
      <xdr:spPr bwMode="auto">
        <a:xfrm>
          <a:off x="0" y="13649325"/>
          <a:ext cx="0" cy="76200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7" name="AutoShape 82">
          <a:extLst>
            <a:ext uri="{FF2B5EF4-FFF2-40B4-BE49-F238E27FC236}">
              <a16:creationId xmlns:a16="http://schemas.microsoft.com/office/drawing/2014/main" id="{00000000-0008-0000-0800-000007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88" name="AutoShape 83">
          <a:extLst>
            <a:ext uri="{FF2B5EF4-FFF2-40B4-BE49-F238E27FC236}">
              <a16:creationId xmlns:a16="http://schemas.microsoft.com/office/drawing/2014/main" id="{00000000-0008-0000-0800-000008180100}"/>
            </a:ext>
          </a:extLst>
        </xdr:cNvPr>
        <xdr:cNvSpPr>
          <a:spLocks/>
        </xdr:cNvSpPr>
      </xdr:nvSpPr>
      <xdr:spPr bwMode="auto">
        <a:xfrm>
          <a:off x="0" y="2171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76200</xdr:rowOff>
    </xdr:from>
    <xdr:to>
      <xdr:col>0</xdr:col>
      <xdr:colOff>0</xdr:colOff>
      <xdr:row>49</xdr:row>
      <xdr:rowOff>0</xdr:rowOff>
    </xdr:to>
    <xdr:sp macro="" textlink="">
      <xdr:nvSpPr>
        <xdr:cNvPr id="71689" name="AutoShape 84">
          <a:extLst>
            <a:ext uri="{FF2B5EF4-FFF2-40B4-BE49-F238E27FC236}">
              <a16:creationId xmlns:a16="http://schemas.microsoft.com/office/drawing/2014/main" id="{00000000-0008-0000-0800-000009180100}"/>
            </a:ext>
          </a:extLst>
        </xdr:cNvPr>
        <xdr:cNvSpPr>
          <a:spLocks/>
        </xdr:cNvSpPr>
      </xdr:nvSpPr>
      <xdr:spPr bwMode="auto">
        <a:xfrm>
          <a:off x="0" y="13858875"/>
          <a:ext cx="0" cy="55245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0" name="AutoShape 85">
          <a:extLst>
            <a:ext uri="{FF2B5EF4-FFF2-40B4-BE49-F238E27FC236}">
              <a16:creationId xmlns:a16="http://schemas.microsoft.com/office/drawing/2014/main" id="{00000000-0008-0000-0800-00000A180100}"/>
            </a:ext>
          </a:extLst>
        </xdr:cNvPr>
        <xdr:cNvSpPr>
          <a:spLocks/>
        </xdr:cNvSpPr>
      </xdr:nvSpPr>
      <xdr:spPr bwMode="auto">
        <a:xfrm>
          <a:off x="0" y="2456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1" name="AutoShape 86">
          <a:extLst>
            <a:ext uri="{FF2B5EF4-FFF2-40B4-BE49-F238E27FC236}">
              <a16:creationId xmlns:a16="http://schemas.microsoft.com/office/drawing/2014/main" id="{00000000-0008-0000-0800-00000B180100}"/>
            </a:ext>
          </a:extLst>
        </xdr:cNvPr>
        <xdr:cNvSpPr>
          <a:spLocks/>
        </xdr:cNvSpPr>
      </xdr:nvSpPr>
      <xdr:spPr bwMode="auto">
        <a:xfrm>
          <a:off x="0" y="13782675"/>
          <a:ext cx="0" cy="628650"/>
        </a:xfrm>
        <a:prstGeom prst="rightBrace">
          <a:avLst>
            <a:gd name="adj1" fmla="val -2147483648"/>
            <a:gd name="adj2" fmla="val 7884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71692" name="AutoShape 87">
          <a:extLst>
            <a:ext uri="{FF2B5EF4-FFF2-40B4-BE49-F238E27FC236}">
              <a16:creationId xmlns:a16="http://schemas.microsoft.com/office/drawing/2014/main" id="{00000000-0008-0000-0800-00000C180100}"/>
            </a:ext>
          </a:extLst>
        </xdr:cNvPr>
        <xdr:cNvSpPr>
          <a:spLocks/>
        </xdr:cNvSpPr>
      </xdr:nvSpPr>
      <xdr:spPr bwMode="auto">
        <a:xfrm>
          <a:off x="0" y="13468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3" name="AutoShape 88">
          <a:extLst>
            <a:ext uri="{FF2B5EF4-FFF2-40B4-BE49-F238E27FC236}">
              <a16:creationId xmlns:a16="http://schemas.microsoft.com/office/drawing/2014/main" id="{00000000-0008-0000-0800-00000D180100}"/>
            </a:ext>
          </a:extLst>
        </xdr:cNvPr>
        <xdr:cNvSpPr>
          <a:spLocks/>
        </xdr:cNvSpPr>
      </xdr:nvSpPr>
      <xdr:spPr bwMode="auto">
        <a:xfrm>
          <a:off x="0" y="2171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4" name="AutoShape 89">
          <a:extLst>
            <a:ext uri="{FF2B5EF4-FFF2-40B4-BE49-F238E27FC236}">
              <a16:creationId xmlns:a16="http://schemas.microsoft.com/office/drawing/2014/main" id="{00000000-0008-0000-0800-00000E180100}"/>
            </a:ext>
          </a:extLst>
        </xdr:cNvPr>
        <xdr:cNvSpPr>
          <a:spLocks/>
        </xdr:cNvSpPr>
      </xdr:nvSpPr>
      <xdr:spPr bwMode="auto">
        <a:xfrm>
          <a:off x="0" y="31184850"/>
          <a:ext cx="0" cy="1428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5" name="AutoShape 90">
          <a:extLst>
            <a:ext uri="{FF2B5EF4-FFF2-40B4-BE49-F238E27FC236}">
              <a16:creationId xmlns:a16="http://schemas.microsoft.com/office/drawing/2014/main" id="{00000000-0008-0000-0800-00000F180100}"/>
            </a:ext>
          </a:extLst>
        </xdr:cNvPr>
        <xdr:cNvSpPr>
          <a:spLocks/>
        </xdr:cNvSpPr>
      </xdr:nvSpPr>
      <xdr:spPr bwMode="auto">
        <a:xfrm>
          <a:off x="0" y="31508700"/>
          <a:ext cx="0" cy="19526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6" name="AutoShape 91">
          <a:extLst>
            <a:ext uri="{FF2B5EF4-FFF2-40B4-BE49-F238E27FC236}">
              <a16:creationId xmlns:a16="http://schemas.microsoft.com/office/drawing/2014/main" id="{00000000-0008-0000-0800-000010180100}"/>
            </a:ext>
          </a:extLst>
        </xdr:cNvPr>
        <xdr:cNvSpPr>
          <a:spLocks/>
        </xdr:cNvSpPr>
      </xdr:nvSpPr>
      <xdr:spPr bwMode="auto">
        <a:xfrm>
          <a:off x="0" y="31184850"/>
          <a:ext cx="0" cy="1428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7" name="AutoShape 92">
          <a:extLst>
            <a:ext uri="{FF2B5EF4-FFF2-40B4-BE49-F238E27FC236}">
              <a16:creationId xmlns:a16="http://schemas.microsoft.com/office/drawing/2014/main" id="{00000000-0008-0000-0800-000011180100}"/>
            </a:ext>
          </a:extLst>
        </xdr:cNvPr>
        <xdr:cNvSpPr>
          <a:spLocks/>
        </xdr:cNvSpPr>
      </xdr:nvSpPr>
      <xdr:spPr bwMode="auto">
        <a:xfrm>
          <a:off x="0" y="31508700"/>
          <a:ext cx="0" cy="195262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8" name="AutoShape 93">
          <a:extLst>
            <a:ext uri="{FF2B5EF4-FFF2-40B4-BE49-F238E27FC236}">
              <a16:creationId xmlns:a16="http://schemas.microsoft.com/office/drawing/2014/main" id="{00000000-0008-0000-0800-000012180100}"/>
            </a:ext>
          </a:extLst>
        </xdr:cNvPr>
        <xdr:cNvSpPr>
          <a:spLocks/>
        </xdr:cNvSpPr>
      </xdr:nvSpPr>
      <xdr:spPr bwMode="auto">
        <a:xfrm>
          <a:off x="0" y="37909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699" name="AutoShape 94">
          <a:extLst>
            <a:ext uri="{FF2B5EF4-FFF2-40B4-BE49-F238E27FC236}">
              <a16:creationId xmlns:a16="http://schemas.microsoft.com/office/drawing/2014/main" id="{00000000-0008-0000-0800-000013180100}"/>
            </a:ext>
          </a:extLst>
        </xdr:cNvPr>
        <xdr:cNvSpPr>
          <a:spLocks/>
        </xdr:cNvSpPr>
      </xdr:nvSpPr>
      <xdr:spPr bwMode="auto">
        <a:xfrm>
          <a:off x="0" y="32070675"/>
          <a:ext cx="0" cy="1400175"/>
        </a:xfrm>
        <a:prstGeom prst="rightBrace">
          <a:avLst>
            <a:gd name="adj1" fmla="val -2147483648"/>
            <a:gd name="adj2" fmla="val 5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71700" name="AutoShape 95">
          <a:extLst>
            <a:ext uri="{FF2B5EF4-FFF2-40B4-BE49-F238E27FC236}">
              <a16:creationId xmlns:a16="http://schemas.microsoft.com/office/drawing/2014/main" id="{00000000-0008-0000-0800-000014180100}"/>
            </a:ext>
          </a:extLst>
        </xdr:cNvPr>
        <xdr:cNvSpPr>
          <a:spLocks/>
        </xdr:cNvSpPr>
      </xdr:nvSpPr>
      <xdr:spPr bwMode="auto">
        <a:xfrm>
          <a:off x="0" y="37909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hiv01ibm/Dokumentumok/Excel/Menyus/P&#233;nz&#252;gyielemz&#233;s/P&#252;modell/M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ölap"/>
      <sheetName val="Ábra_1"/>
      <sheetName val="Ábra_2"/>
      <sheetName val="Ábra_3"/>
      <sheetName val="Ábra_4"/>
      <sheetName val="Kockázat"/>
      <sheetName val="Háttéradatok"/>
      <sheetName val="Adatbevitel"/>
      <sheetName val="Elörejelzés"/>
      <sheetName val="Költségvetés"/>
      <sheetName val="Megoszlás"/>
      <sheetName val="PerCap"/>
      <sheetName val="Reálérték"/>
      <sheetName val="Szcenáriók"/>
      <sheetName val="Hitelfelvét"/>
      <sheetName val="Chart_data"/>
      <sheetName val="Info sheet"/>
      <sheetName val="Simple"/>
      <sheetName val="Double"/>
      <sheetName val="Option"/>
      <sheetName val="Year"/>
      <sheetName val="Forecast"/>
      <sheetName val="Estimate"/>
      <sheetName val="Scenarios"/>
      <sheetName val="Credit"/>
      <sheetName val="Charter"/>
      <sheetName val="Risk"/>
      <sheetName val="Risk-scen"/>
      <sheetName val="Risk-trend"/>
      <sheetName val="Risk-menu"/>
      <sheetName val="a_Core"/>
      <sheetName val="b_Menu_commands"/>
      <sheetName val="c_Simple_routines"/>
      <sheetName val="d_Double_routines"/>
      <sheetName val="e_Year_routines"/>
      <sheetName val="f_Option_routines"/>
      <sheetName val="g_Forecast_routines"/>
      <sheetName val="h_Estimate_routines"/>
      <sheetName val="i_Import_routines"/>
      <sheetName val="j_Credit_routines"/>
      <sheetName val="k_Scenario_routines"/>
      <sheetName val="l_Charter_routines"/>
      <sheetName val="m_Risk_routines"/>
      <sheetName val="n_Risk_menu"/>
      <sheetName val="Akadálymentesítési közmunkapr."/>
      <sheetName val="Út-híd szakfeladat"/>
      <sheetName val="Parkfenntartás"/>
      <sheetName val="Vízkárelhárítás"/>
      <sheetName val="Köztisztaság"/>
      <sheetName val="Temetőfenntartás"/>
      <sheetName val="Közvilágítás"/>
      <sheetName val="Állategészségügy"/>
      <sheetName val="Mezőgazdaság"/>
      <sheetName val="Közműnyilvántartás"/>
      <sheetName val="Lakásüzemeltetés"/>
      <sheetName val="Közösköltség"/>
      <sheetName val="Zöld Ház közös ktg."/>
      <sheetName val="Lakás karbantartás"/>
      <sheetName val="Lakásért. bony.díja"/>
      <sheetName val="Kezelési díj"/>
      <sheetName val="Lakás felújítás"/>
      <sheetName val="Lakás mobilitás"/>
      <sheetName val="Bérlőkijelölés"/>
      <sheetName val="Ped.szálló üzemeltetése"/>
      <sheetName val="Első lakáshoz jutók"/>
      <sheetName val="VMZK címzett"/>
      <sheetName val="Játszótéri program"/>
      <sheetName val="Region.hulladéklerakó"/>
      <sheetName val="Széchenyi park építés"/>
      <sheetName val="Színház műszaki ellátó rendszer"/>
      <sheetName val="Civil Ház"/>
      <sheetName val="Csallóköz ovi"/>
      <sheetName val="Széchenyi Gimn tornacsarnok"/>
      <sheetName val="Kodály Z ÁI"/>
      <sheetName val="Mátyás"/>
      <sheetName val="Gépipari címzett"/>
      <sheetName val="TVM 91 lakás"/>
      <sheetName val="Kerékpárút"/>
      <sheetName val="2004. évi útépítések"/>
      <sheetName val="TVM villany"/>
      <sheetName val="Repülős emlékmű"/>
      <sheetName val="Gorkij úti csapadékvíz"/>
      <sheetName val="CORA lépcső"/>
      <sheetName val="Közvilágítás bővítése"/>
      <sheetName val="közbeszerzés"/>
      <sheetName val="Védelmi tervek"/>
      <sheetName val="Csapadékvíz elvez beruh konc"/>
      <sheetName val="Ip.tech.lakóép.korsz."/>
      <sheetName val="TVM lakótelepi lakások"/>
      <sheetName val="Bozsik"/>
      <sheetName val="Logisztikai központ"/>
      <sheetName val="Kossuth tér"/>
      <sheetName val="Inkubátorház"/>
      <sheetName val="1"/>
      <sheetName val="2"/>
      <sheetName val="3"/>
      <sheetName val="4"/>
      <sheetName val="5"/>
      <sheetName val="6"/>
      <sheetName val="vis major felúj"/>
      <sheetName val="vis major kiemelt int."/>
      <sheetName val="vis major 10"/>
      <sheetName val="Városszépítési Alap"/>
      <sheetName val="Környezetvédelmi Alap"/>
      <sheetName val="ÉKHV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22">
          <cell r="C22">
            <v>1990</v>
          </cell>
          <cell r="D22">
            <v>1991</v>
          </cell>
          <cell r="E22">
            <v>1992</v>
          </cell>
          <cell r="F22">
            <v>1993</v>
          </cell>
          <cell r="G22">
            <v>1994</v>
          </cell>
          <cell r="H22">
            <v>1995</v>
          </cell>
          <cell r="I22">
            <v>1996</v>
          </cell>
          <cell r="J22">
            <v>1997</v>
          </cell>
          <cell r="K22">
            <v>1998</v>
          </cell>
          <cell r="L22">
            <v>1999</v>
          </cell>
          <cell r="M22">
            <v>2000</v>
          </cell>
          <cell r="N22">
            <v>2001</v>
          </cell>
          <cell r="O22">
            <v>2002</v>
          </cell>
          <cell r="P22">
            <v>2003</v>
          </cell>
          <cell r="Q22">
            <v>2004</v>
          </cell>
          <cell r="R22">
            <v>2005</v>
          </cell>
          <cell r="S22">
            <v>2006</v>
          </cell>
          <cell r="T22">
            <v>2007</v>
          </cell>
          <cell r="U22">
            <v>2008</v>
          </cell>
          <cell r="V22">
            <v>2009</v>
          </cell>
          <cell r="W22">
            <v>2010</v>
          </cell>
          <cell r="X22">
            <v>2011</v>
          </cell>
          <cell r="Y22">
            <v>2012</v>
          </cell>
          <cell r="Z22">
            <v>2013</v>
          </cell>
          <cell r="AA22">
            <v>2014</v>
          </cell>
          <cell r="AB22">
            <v>2015</v>
          </cell>
          <cell r="AC22">
            <v>2016</v>
          </cell>
          <cell r="AD22">
            <v>2017</v>
          </cell>
          <cell r="AE22">
            <v>2018</v>
          </cell>
          <cell r="AF22">
            <v>2019</v>
          </cell>
          <cell r="AG22">
            <v>2020</v>
          </cell>
        </row>
        <row r="23">
          <cell r="B23" t="str">
            <v>éves változás</v>
          </cell>
          <cell r="C23">
            <v>28.9</v>
          </cell>
          <cell r="D23">
            <v>35</v>
          </cell>
          <cell r="E23">
            <v>22.8</v>
          </cell>
          <cell r="F23">
            <v>22.5</v>
          </cell>
          <cell r="G23">
            <v>18.8</v>
          </cell>
          <cell r="H23">
            <v>28.8</v>
          </cell>
          <cell r="I23">
            <v>23.8</v>
          </cell>
          <cell r="J23">
            <v>18.3</v>
          </cell>
          <cell r="K23">
            <v>15</v>
          </cell>
          <cell r="L23">
            <v>14</v>
          </cell>
          <cell r="M23">
            <v>13</v>
          </cell>
          <cell r="N23">
            <v>12</v>
          </cell>
          <cell r="O23">
            <v>11.5</v>
          </cell>
          <cell r="P23">
            <v>11</v>
          </cell>
          <cell r="Q23">
            <v>10.5</v>
          </cell>
          <cell r="R23">
            <v>10</v>
          </cell>
          <cell r="S23">
            <v>9.5</v>
          </cell>
          <cell r="T23">
            <v>9</v>
          </cell>
          <cell r="U23">
            <v>8.5</v>
          </cell>
          <cell r="V23">
            <v>8</v>
          </cell>
          <cell r="W23">
            <v>7.5</v>
          </cell>
          <cell r="X23">
            <v>7</v>
          </cell>
          <cell r="Y23">
            <v>6.5</v>
          </cell>
          <cell r="Z23">
            <v>6</v>
          </cell>
          <cell r="AA23">
            <v>5.5</v>
          </cell>
          <cell r="AB23">
            <v>5</v>
          </cell>
          <cell r="AC23">
            <v>4.5</v>
          </cell>
          <cell r="AD23">
            <v>4</v>
          </cell>
          <cell r="AE23">
            <v>4</v>
          </cell>
          <cell r="AF23">
            <v>4</v>
          </cell>
          <cell r="AG23">
            <v>4</v>
          </cell>
        </row>
        <row r="24">
          <cell r="B24" t="str">
            <v>index</v>
          </cell>
          <cell r="C24">
            <v>1.2889999999999999</v>
          </cell>
          <cell r="D24">
            <v>1.7401500000000001</v>
          </cell>
          <cell r="E24">
            <v>2.1369042</v>
          </cell>
          <cell r="F24">
            <v>2.6177076450000003</v>
          </cell>
          <cell r="G24">
            <v>3.1098366822600001</v>
          </cell>
          <cell r="H24">
            <v>4.0054696467508801</v>
          </cell>
          <cell r="I24">
            <v>4.9587714226775894</v>
          </cell>
          <cell r="J24">
            <v>5.8662265930275881</v>
          </cell>
          <cell r="K24">
            <v>6.7461605819817256</v>
          </cell>
          <cell r="L24">
            <v>7.6906230634591681</v>
          </cell>
          <cell r="M24">
            <v>8.6904040617088594</v>
          </cell>
          <cell r="N24">
            <v>9.7332525491139226</v>
          </cell>
          <cell r="O24">
            <v>10.852576592262023</v>
          </cell>
          <cell r="P24">
            <v>12.046360017410848</v>
          </cell>
          <cell r="Q24">
            <v>13.311227819238987</v>
          </cell>
          <cell r="R24">
            <v>14.642350601162887</v>
          </cell>
          <cell r="S24">
            <v>16.033373908273362</v>
          </cell>
          <cell r="T24">
            <v>17.476377560017966</v>
          </cell>
          <cell r="U24">
            <v>18.961869652619491</v>
          </cell>
          <cell r="V24">
            <v>20.478819224829053</v>
          </cell>
          <cell r="W24">
            <v>22.014730666691232</v>
          </cell>
          <cell r="X24">
            <v>23.55576181335962</v>
          </cell>
          <cell r="Y24">
            <v>25.086886331227994</v>
          </cell>
          <cell r="Z24">
            <v>26.592099511101676</v>
          </cell>
          <cell r="AA24">
            <v>28.054664984212266</v>
          </cell>
          <cell r="AB24">
            <v>29.457398233422882</v>
          </cell>
          <cell r="AC24">
            <v>30.782981153926912</v>
          </cell>
          <cell r="AD24">
            <v>32.014300400083989</v>
          </cell>
          <cell r="AE24">
            <v>33.294872416087351</v>
          </cell>
          <cell r="AF24">
            <v>34.626667312730845</v>
          </cell>
          <cell r="AG24">
            <v>36.011734005240079</v>
          </cell>
        </row>
        <row r="25">
          <cell r="B25">
            <v>1998</v>
          </cell>
          <cell r="C25">
            <v>5.2336389309400513</v>
          </cell>
          <cell r="D25">
            <v>3.8767695784741116</v>
          </cell>
          <cell r="E25">
            <v>3.1569784840994397</v>
          </cell>
          <cell r="F25">
            <v>2.5771252931423994</v>
          </cell>
          <cell r="G25">
            <v>2.1692973847999997</v>
          </cell>
          <cell r="H25">
            <v>1.6842370999999998</v>
          </cell>
          <cell r="I25">
            <v>1.3604499999999997</v>
          </cell>
          <cell r="J25">
            <v>1.1499999999999999</v>
          </cell>
          <cell r="K25">
            <v>1</v>
          </cell>
          <cell r="L25">
            <v>0.8771929824561403</v>
          </cell>
          <cell r="M25">
            <v>0.77627697562490294</v>
          </cell>
          <cell r="N25">
            <v>0.6931044425222348</v>
          </cell>
          <cell r="O25">
            <v>0.62161833410065903</v>
          </cell>
          <cell r="P25">
            <v>0.56001651720780077</v>
          </cell>
          <cell r="Q25">
            <v>0.50680227801610933</v>
          </cell>
          <cell r="R25">
            <v>0.46072934365100843</v>
          </cell>
          <cell r="S25">
            <v>0.42075739146210817</v>
          </cell>
          <cell r="T25">
            <v>0.38601595546982398</v>
          </cell>
          <cell r="U25">
            <v>0.35577507416573639</v>
          </cell>
          <cell r="V25">
            <v>0.3294213649682744</v>
          </cell>
          <cell r="W25">
            <v>0.30643847904025523</v>
          </cell>
          <cell r="X25">
            <v>0.28639110190678058</v>
          </cell>
          <cell r="Y25">
            <v>0.2689118327763198</v>
          </cell>
          <cell r="Z25">
            <v>0.25369040827954698</v>
          </cell>
          <cell r="AA25">
            <v>0.2404648419711346</v>
          </cell>
          <cell r="AB25">
            <v>0.22901413521060435</v>
          </cell>
          <cell r="AC25">
            <v>0.21915228249818597</v>
          </cell>
          <cell r="AD25">
            <v>0.21072334855594804</v>
          </cell>
          <cell r="AE25">
            <v>0.20261860438071927</v>
          </cell>
          <cell r="AF25">
            <v>0.19482558113530699</v>
          </cell>
          <cell r="AG25">
            <v>0.18733228955317979</v>
          </cell>
        </row>
        <row r="26">
          <cell r="C26">
            <v>96.5</v>
          </cell>
          <cell r="D26">
            <v>88.1</v>
          </cell>
          <cell r="E26">
            <v>96.9</v>
          </cell>
          <cell r="F26">
            <v>99.4</v>
          </cell>
          <cell r="G26">
            <v>102.9</v>
          </cell>
          <cell r="H26">
            <v>101.5</v>
          </cell>
          <cell r="I26">
            <v>101.3</v>
          </cell>
          <cell r="J26">
            <v>104.4</v>
          </cell>
          <cell r="K26">
            <v>105</v>
          </cell>
          <cell r="L26">
            <v>106</v>
          </cell>
          <cell r="M26">
            <v>107</v>
          </cell>
          <cell r="N26">
            <v>108</v>
          </cell>
          <cell r="O26">
            <v>108</v>
          </cell>
          <cell r="P26">
            <v>108</v>
          </cell>
          <cell r="Q26">
            <v>108</v>
          </cell>
          <cell r="R26">
            <v>108</v>
          </cell>
          <cell r="S26">
            <v>108</v>
          </cell>
          <cell r="T26">
            <v>108</v>
          </cell>
          <cell r="U26">
            <v>108</v>
          </cell>
          <cell r="V26">
            <v>108</v>
          </cell>
          <cell r="W26">
            <v>108</v>
          </cell>
          <cell r="X26">
            <v>108</v>
          </cell>
          <cell r="Y26">
            <v>108</v>
          </cell>
          <cell r="Z26">
            <v>108</v>
          </cell>
          <cell r="AA26">
            <v>108</v>
          </cell>
          <cell r="AB26">
            <v>108</v>
          </cell>
          <cell r="AC26">
            <v>108</v>
          </cell>
          <cell r="AD26">
            <v>108</v>
          </cell>
          <cell r="AE26">
            <v>108</v>
          </cell>
          <cell r="AF26">
            <v>108</v>
          </cell>
          <cell r="AG26">
            <v>108</v>
          </cell>
        </row>
        <row r="27">
          <cell r="B27" t="str">
            <v>index</v>
          </cell>
          <cell r="C27">
            <v>0.96499999999999997</v>
          </cell>
          <cell r="D27">
            <v>0.85016499999999984</v>
          </cell>
          <cell r="E27">
            <v>0.82380988499999996</v>
          </cell>
          <cell r="F27">
            <v>0.81886702569000003</v>
          </cell>
          <cell r="G27">
            <v>0.84261416943501011</v>
          </cell>
          <cell r="H27">
            <v>0.85525338197653522</v>
          </cell>
          <cell r="I27">
            <v>0.86637167594223008</v>
          </cell>
          <cell r="J27">
            <v>0.90449202968368825</v>
          </cell>
          <cell r="K27">
            <v>0.94971663116787275</v>
          </cell>
          <cell r="L27">
            <v>1.0066996290379451</v>
          </cell>
          <cell r="M27">
            <v>1.0771686030706014</v>
          </cell>
          <cell r="N27">
            <v>1.1633420913162495</v>
          </cell>
          <cell r="O27">
            <v>1.2564094586215495</v>
          </cell>
          <cell r="P27">
            <v>1.3569222153112737</v>
          </cell>
          <cell r="Q27">
            <v>1.4654759925361756</v>
          </cell>
          <cell r="R27">
            <v>1.5827140719390698</v>
          </cell>
          <cell r="S27">
            <v>1.7093311976941954</v>
          </cell>
          <cell r="T27">
            <v>1.8460776935097312</v>
          </cell>
          <cell r="U27">
            <v>1.9937639089905097</v>
          </cell>
          <cell r="V27">
            <v>2.1532650217097506</v>
          </cell>
          <cell r="W27">
            <v>2.325526223446531</v>
          </cell>
          <cell r="X27">
            <v>2.5115683213222537</v>
          </cell>
          <cell r="Y27">
            <v>2.7124937870280341</v>
          </cell>
          <cell r="Z27">
            <v>2.929493289990277</v>
          </cell>
          <cell r="AA27">
            <v>3.1638527531894995</v>
          </cell>
          <cell r="AB27">
            <v>3.4169609734446595</v>
          </cell>
          <cell r="AC27">
            <v>3.6903178513202324</v>
          </cell>
          <cell r="AD27">
            <v>3.9855432794258512</v>
          </cell>
          <cell r="AE27">
            <v>4.3043867417799193</v>
          </cell>
          <cell r="AF27">
            <v>4.6487376811223129</v>
          </cell>
          <cell r="AG27">
            <v>5.0206366956120982</v>
          </cell>
        </row>
        <row r="28">
          <cell r="B28">
            <v>1998</v>
          </cell>
          <cell r="C28">
            <v>0.98416231209105987</v>
          </cell>
          <cell r="D28">
            <v>1.1170968355176618</v>
          </cell>
          <cell r="E28">
            <v>1.1528347115765343</v>
          </cell>
          <cell r="F28">
            <v>1.1597934724110002</v>
          </cell>
          <cell r="G28">
            <v>1.127107359</v>
          </cell>
          <cell r="H28">
            <v>1.1104506000000001</v>
          </cell>
          <cell r="I28">
            <v>1.0962000000000001</v>
          </cell>
          <cell r="J28">
            <v>1.05</v>
          </cell>
          <cell r="K28">
            <v>1</v>
          </cell>
          <cell r="L28">
            <v>0.94339622641509435</v>
          </cell>
          <cell r="M28">
            <v>0.88167871627578898</v>
          </cell>
          <cell r="N28">
            <v>0.81636918173684159</v>
          </cell>
          <cell r="O28">
            <v>0.75589739049707561</v>
          </cell>
          <cell r="P28">
            <v>0.69990499120099581</v>
          </cell>
          <cell r="Q28">
            <v>0.64806017703795904</v>
          </cell>
          <cell r="R28">
            <v>0.60005571947959169</v>
          </cell>
          <cell r="S28">
            <v>0.5556071476662886</v>
          </cell>
          <cell r="T28">
            <v>0.51445106265397089</v>
          </cell>
          <cell r="U28">
            <v>0.47634357653145448</v>
          </cell>
          <cell r="V28">
            <v>0.44105886715875414</v>
          </cell>
          <cell r="W28">
            <v>0.40838783996180933</v>
          </cell>
          <cell r="X28">
            <v>0.37813688885352714</v>
          </cell>
          <cell r="Y28">
            <v>0.35012674893845103</v>
          </cell>
          <cell r="Z28">
            <v>0.32419143420226942</v>
          </cell>
          <cell r="AA28">
            <v>0.3001772538909902</v>
          </cell>
          <cell r="AB28">
            <v>0.27794190175091682</v>
          </cell>
          <cell r="AC28">
            <v>0.25735361273233043</v>
          </cell>
          <cell r="AD28">
            <v>0.23829038215956519</v>
          </cell>
          <cell r="AE28">
            <v>0.22063924274033814</v>
          </cell>
          <cell r="AF28">
            <v>0.20429559512994272</v>
          </cell>
          <cell r="AG28">
            <v>0.18916258808328026</v>
          </cell>
        </row>
        <row r="29">
          <cell r="C29">
            <v>1990</v>
          </cell>
          <cell r="D29">
            <v>1991</v>
          </cell>
          <cell r="E29">
            <v>1992</v>
          </cell>
          <cell r="F29">
            <v>1993</v>
          </cell>
          <cell r="G29">
            <v>1994</v>
          </cell>
          <cell r="H29">
            <v>1995</v>
          </cell>
          <cell r="I29">
            <v>1996</v>
          </cell>
          <cell r="J29">
            <v>1997</v>
          </cell>
          <cell r="K29">
            <v>1998</v>
          </cell>
          <cell r="L29">
            <v>1999</v>
          </cell>
          <cell r="M29">
            <v>2000</v>
          </cell>
          <cell r="N29">
            <v>2001</v>
          </cell>
          <cell r="O29">
            <v>2002</v>
          </cell>
          <cell r="P29">
            <v>2003</v>
          </cell>
          <cell r="Q29">
            <v>2004</v>
          </cell>
          <cell r="R29">
            <v>2005</v>
          </cell>
          <cell r="S29">
            <v>2006</v>
          </cell>
          <cell r="T29">
            <v>2007</v>
          </cell>
          <cell r="U29">
            <v>2008</v>
          </cell>
          <cell r="V29">
            <v>2009</v>
          </cell>
          <cell r="W29">
            <v>2010</v>
          </cell>
          <cell r="X29">
            <v>2011</v>
          </cell>
          <cell r="Y29">
            <v>2012</v>
          </cell>
          <cell r="Z29">
            <v>2013</v>
          </cell>
          <cell r="AA29">
            <v>2014</v>
          </cell>
          <cell r="AB29">
            <v>2015</v>
          </cell>
          <cell r="AC29">
            <v>2016</v>
          </cell>
          <cell r="AD29">
            <v>2017</v>
          </cell>
          <cell r="AE29">
            <v>2018</v>
          </cell>
          <cell r="AF29">
            <v>2019</v>
          </cell>
          <cell r="AG29">
            <v>2020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14.4</v>
          </cell>
          <cell r="G30">
            <v>49.2</v>
          </cell>
          <cell r="H30">
            <v>12.2</v>
          </cell>
          <cell r="I30">
            <v>12.9</v>
          </cell>
          <cell r="J30">
            <v>13.6</v>
          </cell>
          <cell r="K30">
            <v>25.167857144207119</v>
          </cell>
          <cell r="L30">
            <v>26.167857144207119</v>
          </cell>
          <cell r="M30">
            <v>27.167857144207119</v>
          </cell>
          <cell r="N30">
            <v>28.167857144207119</v>
          </cell>
          <cell r="O30">
            <v>28.667857144207119</v>
          </cell>
          <cell r="P30">
            <v>29.167857144207119</v>
          </cell>
          <cell r="Q30">
            <v>29.667857144207119</v>
          </cell>
          <cell r="R30">
            <v>30.167857144207119</v>
          </cell>
          <cell r="S30">
            <v>30.667857144207119</v>
          </cell>
          <cell r="T30">
            <v>31.167857144207119</v>
          </cell>
          <cell r="U30">
            <v>31.667857144207119</v>
          </cell>
          <cell r="V30">
            <v>32.167857144207119</v>
          </cell>
          <cell r="W30">
            <v>32.667857144207119</v>
          </cell>
          <cell r="X30">
            <v>33.167857144207119</v>
          </cell>
          <cell r="Y30">
            <v>33.667857144207119</v>
          </cell>
          <cell r="Z30">
            <v>34.167857144207119</v>
          </cell>
          <cell r="AA30">
            <v>34.667857144207119</v>
          </cell>
          <cell r="AB30">
            <v>35.167857144207119</v>
          </cell>
          <cell r="AC30">
            <v>35.667857144207119</v>
          </cell>
          <cell r="AD30">
            <v>36.167857144207119</v>
          </cell>
          <cell r="AE30">
            <v>36.667857144207119</v>
          </cell>
          <cell r="AF30">
            <v>37.167857144207119</v>
          </cell>
          <cell r="AG30">
            <v>37.667857144207119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857.91600000000005</v>
          </cell>
          <cell r="G31">
            <v>857.13400000000001</v>
          </cell>
          <cell r="H31">
            <v>959.54899999999998</v>
          </cell>
          <cell r="I31">
            <v>1134.93</v>
          </cell>
          <cell r="J31">
            <v>1148.002</v>
          </cell>
          <cell r="K31">
            <v>2095.5848940000001</v>
          </cell>
          <cell r="L31">
            <v>3113.1045824711</v>
          </cell>
          <cell r="M31">
            <v>4309.0085317780322</v>
          </cell>
          <cell r="N31">
            <v>5706.2852899784029</v>
          </cell>
          <cell r="O31">
            <v>7321.1921767319736</v>
          </cell>
          <cell r="P31">
            <v>9169.0612829964266</v>
          </cell>
          <cell r="Q31">
            <v>11263.898680691364</v>
          </cell>
          <cell r="R31">
            <v>13617.965692160569</v>
          </cell>
          <cell r="S31">
            <v>16241.351482463746</v>
          </cell>
          <cell r="T31">
            <v>19141.547572618572</v>
          </cell>
          <cell r="U31">
            <v>22323.035978166321</v>
          </cell>
          <cell r="V31">
            <v>21139.915071323507</v>
          </cell>
          <cell r="W31">
            <v>20019.499572543358</v>
          </cell>
          <cell r="X31">
            <v>18958.466095198561</v>
          </cell>
          <cell r="Y31">
            <v>17953.667392153035</v>
          </cell>
          <cell r="Z31">
            <v>17002.123020368923</v>
          </cell>
          <cell r="AA31">
            <v>16101.010500289369</v>
          </cell>
          <cell r="AB31">
            <v>15247.656943774031</v>
          </cell>
          <cell r="AC31">
            <v>14439.531125754007</v>
          </cell>
          <cell r="AD31">
            <v>13674.235976089043</v>
          </cell>
          <cell r="AE31">
            <v>12949.501469356323</v>
          </cell>
          <cell r="AF31">
            <v>12263.177891480436</v>
          </cell>
          <cell r="AG31">
            <v>11613.229463231972</v>
          </cell>
        </row>
        <row r="32">
          <cell r="C32">
            <v>16397</v>
          </cell>
          <cell r="D32">
            <v>16397</v>
          </cell>
          <cell r="E32">
            <v>16397</v>
          </cell>
          <cell r="F32">
            <v>16397</v>
          </cell>
          <cell r="G32">
            <v>16397</v>
          </cell>
          <cell r="H32">
            <v>16397</v>
          </cell>
          <cell r="I32">
            <v>16397</v>
          </cell>
          <cell r="J32">
            <v>16397</v>
          </cell>
          <cell r="K32">
            <v>16397</v>
          </cell>
          <cell r="L32">
            <v>16397</v>
          </cell>
          <cell r="M32">
            <v>16397</v>
          </cell>
          <cell r="N32">
            <v>16397</v>
          </cell>
          <cell r="O32">
            <v>16397</v>
          </cell>
          <cell r="P32">
            <v>16396.999999997766</v>
          </cell>
          <cell r="Q32">
            <v>16396.999999997926</v>
          </cell>
          <cell r="R32">
            <v>16396.999999996395</v>
          </cell>
          <cell r="S32">
            <v>16396.999999996602</v>
          </cell>
          <cell r="T32">
            <v>16396.999999996773</v>
          </cell>
          <cell r="U32">
            <v>16396.999999996915</v>
          </cell>
          <cell r="V32">
            <v>16396.999999994994</v>
          </cell>
          <cell r="W32">
            <v>16396.999999997031</v>
          </cell>
          <cell r="X32">
            <v>16396.999999997119</v>
          </cell>
          <cell r="Y32">
            <v>16396.999999995682</v>
          </cell>
          <cell r="Z32">
            <v>16396.999999994434</v>
          </cell>
          <cell r="AA32">
            <v>16396.999999994605</v>
          </cell>
          <cell r="AB32">
            <v>16396.999999994754</v>
          </cell>
          <cell r="AC32">
            <v>16396.999999993812</v>
          </cell>
          <cell r="AD32">
            <v>16396.999999993972</v>
          </cell>
          <cell r="AE32">
            <v>16396.99999999411</v>
          </cell>
          <cell r="AF32">
            <v>16396.999999991654</v>
          </cell>
          <cell r="AG32">
            <v>16396.999999992659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P20"/>
  <sheetViews>
    <sheetView zoomScaleNormal="100" workbookViewId="0">
      <selection activeCell="A8" sqref="A8"/>
    </sheetView>
  </sheetViews>
  <sheetFormatPr defaultColWidth="9.140625" defaultRowHeight="12.75" x14ac:dyDescent="0.2"/>
  <cols>
    <col min="1" max="1" width="3.42578125" style="41" customWidth="1"/>
    <col min="2" max="2" width="32.5703125" style="41" customWidth="1"/>
    <col min="3" max="3" width="6.85546875" style="41" customWidth="1"/>
    <col min="4" max="5" width="12.7109375" style="41" customWidth="1"/>
    <col min="6" max="6" width="12.7109375" style="34" customWidth="1"/>
    <col min="7" max="7" width="11.28515625" style="34" customWidth="1"/>
    <col min="8" max="8" width="3.7109375" style="41" customWidth="1"/>
    <col min="9" max="9" width="35.5703125" style="41" customWidth="1"/>
    <col min="10" max="10" width="8" style="41" customWidth="1"/>
    <col min="11" max="12" width="12.7109375" style="41" customWidth="1"/>
    <col min="13" max="13" width="12.7109375" style="35" customWidth="1"/>
    <col min="14" max="14" width="11.5703125" style="41" customWidth="1"/>
    <col min="15" max="16384" width="9.140625" style="41"/>
  </cols>
  <sheetData>
    <row r="1" spans="1:16" ht="23.25" customHeight="1" thickTop="1" x14ac:dyDescent="0.2">
      <c r="A1" s="208"/>
      <c r="B1" s="1203" t="s">
        <v>843</v>
      </c>
      <c r="C1" s="1204"/>
      <c r="D1" s="1204"/>
      <c r="E1" s="1204"/>
      <c r="F1" s="1204"/>
      <c r="G1" s="1205"/>
      <c r="H1" s="466"/>
      <c r="I1" s="1203" t="s">
        <v>45</v>
      </c>
      <c r="J1" s="1206"/>
      <c r="K1" s="1206"/>
      <c r="L1" s="1206"/>
      <c r="M1" s="1206"/>
      <c r="N1" s="1207"/>
    </row>
    <row r="2" spans="1:16" ht="25.5" customHeight="1" x14ac:dyDescent="0.2">
      <c r="A2" s="363" t="s">
        <v>46</v>
      </c>
      <c r="B2" s="209" t="s">
        <v>47</v>
      </c>
      <c r="C2" s="210" t="s">
        <v>48</v>
      </c>
      <c r="D2" s="1197" t="s">
        <v>844</v>
      </c>
      <c r="E2" s="1197" t="s">
        <v>845</v>
      </c>
      <c r="F2" s="1208" t="s">
        <v>606</v>
      </c>
      <c r="G2" s="1210" t="s">
        <v>842</v>
      </c>
      <c r="H2" s="211" t="s">
        <v>46</v>
      </c>
      <c r="I2" s="209" t="s">
        <v>49</v>
      </c>
      <c r="J2" s="210" t="s">
        <v>48</v>
      </c>
      <c r="K2" s="1197" t="s">
        <v>844</v>
      </c>
      <c r="L2" s="1197" t="s">
        <v>845</v>
      </c>
      <c r="M2" s="1199" t="s">
        <v>606</v>
      </c>
      <c r="N2" s="1201" t="s">
        <v>842</v>
      </c>
    </row>
    <row r="3" spans="1:16" ht="36.75" customHeight="1" thickBot="1" x14ac:dyDescent="0.25">
      <c r="A3" s="212"/>
      <c r="B3" s="1169" t="s">
        <v>120</v>
      </c>
      <c r="C3" s="213" t="s">
        <v>50</v>
      </c>
      <c r="D3" s="1198"/>
      <c r="E3" s="1198"/>
      <c r="F3" s="1209"/>
      <c r="G3" s="1211"/>
      <c r="H3" s="214"/>
      <c r="I3" s="215" t="s">
        <v>120</v>
      </c>
      <c r="J3" s="213" t="s">
        <v>50</v>
      </c>
      <c r="K3" s="1198"/>
      <c r="L3" s="1198"/>
      <c r="M3" s="1200"/>
      <c r="N3" s="1202"/>
    </row>
    <row r="4" spans="1:16" ht="27" customHeight="1" x14ac:dyDescent="0.2">
      <c r="A4" s="216">
        <v>1</v>
      </c>
      <c r="B4" s="467" t="s">
        <v>231</v>
      </c>
      <c r="C4" s="468" t="s">
        <v>38</v>
      </c>
      <c r="D4" s="469">
        <f>'1a-Intézmények bevétele'!F26-'1a-Intézmények bevétele'!E26</f>
        <v>799471</v>
      </c>
      <c r="E4" s="219">
        <f>'1a-Intézmények bevétele'!K26-'1a-Intézmények bevétele'!J26</f>
        <v>1084771</v>
      </c>
      <c r="F4" s="1172">
        <f>'1a-Intézmények bevétele'!P26-'1a-Intézmények bevétele'!O26</f>
        <v>1104723</v>
      </c>
      <c r="G4" s="1163">
        <f>F4/E4</f>
        <v>1.0183928220794989</v>
      </c>
      <c r="H4" s="470">
        <v>1</v>
      </c>
      <c r="I4" s="467" t="s">
        <v>148</v>
      </c>
      <c r="J4" s="468" t="s">
        <v>39</v>
      </c>
      <c r="K4" s="471">
        <f>'8a-Intézmények kiadása'!I26-'8a-Intézmények kiadása'!H26-'8a-Intézmények kiadása'!G26</f>
        <v>2812369</v>
      </c>
      <c r="L4" s="20">
        <f>'8a-Intézmények kiadása'!Q26-'8a-Intézmények kiadása'!P26-'8a-Intézmények kiadása'!O26</f>
        <v>3031458</v>
      </c>
      <c r="M4" s="826">
        <f>'8a-Intézmények kiadása'!Y26-'8a-Intézmények kiadása'!X26-'8a-Intézmények kiadása'!W26</f>
        <v>2752536</v>
      </c>
      <c r="N4" s="1157">
        <f>M4/L4</f>
        <v>0.90799080838329282</v>
      </c>
      <c r="P4" s="79"/>
    </row>
    <row r="5" spans="1:16" ht="27" customHeight="1" x14ac:dyDescent="0.2">
      <c r="A5" s="216">
        <v>2</v>
      </c>
      <c r="B5" s="217" t="s">
        <v>54</v>
      </c>
      <c r="C5" s="218" t="s">
        <v>52</v>
      </c>
      <c r="D5" s="18">
        <f>'2-Helyi adóbevételek'!C9</f>
        <v>1986000</v>
      </c>
      <c r="E5" s="221">
        <f>'2-Helyi adóbevételek'!D9</f>
        <v>1250981</v>
      </c>
      <c r="F5" s="1173">
        <f>'2-Helyi adóbevételek'!E9</f>
        <v>1428767</v>
      </c>
      <c r="G5" s="1164">
        <f>F5/E5</f>
        <v>1.1421172663693533</v>
      </c>
      <c r="H5" s="220">
        <v>2</v>
      </c>
      <c r="I5" s="217" t="s">
        <v>1</v>
      </c>
      <c r="J5" s="222" t="s">
        <v>51</v>
      </c>
      <c r="K5" s="16">
        <f>'8b-ÖK-i feladatok'!I32-'8b-ÖK-i feladatok'!F32</f>
        <v>431798</v>
      </c>
      <c r="L5" s="770">
        <f>'8b-ÖK-i feladatok'!Q32-'8b-ÖK-i feladatok'!M32-'8b-ÖK-i feladatok'!O32-'8b-ÖK-i feladatok'!P32</f>
        <v>451736</v>
      </c>
      <c r="M5" s="827">
        <f>'8b-ÖK-i feladatok'!Y32-'8b-ÖK-i feladatok'!X32-'8b-ÖK-i feladatok'!W32-'8b-ÖK-i feladatok'!U32</f>
        <v>288850</v>
      </c>
      <c r="N5" s="1158">
        <f>M5/L5</f>
        <v>0.63942214036516909</v>
      </c>
      <c r="P5" s="79"/>
    </row>
    <row r="6" spans="1:16" ht="27" customHeight="1" x14ac:dyDescent="0.2">
      <c r="A6" s="216">
        <v>3</v>
      </c>
      <c r="B6" s="217" t="s">
        <v>111</v>
      </c>
      <c r="C6" s="222" t="s">
        <v>33</v>
      </c>
      <c r="D6" s="18">
        <f>'3-Egyéb bevételek'!C13+'4-Átvett pe.'!C16</f>
        <v>159259</v>
      </c>
      <c r="E6" s="31">
        <f>'3-Egyéb bevételek'!D13+'4-Átvett pe.'!D16</f>
        <v>263132</v>
      </c>
      <c r="F6" s="1174">
        <f>'3-Egyéb bevételek'!E13+'4-Átvett pe.'!E16</f>
        <v>217959</v>
      </c>
      <c r="G6" s="1164">
        <f>F6/E6</f>
        <v>0.82832570724959331</v>
      </c>
      <c r="H6" s="220">
        <v>3</v>
      </c>
      <c r="I6" s="217" t="s">
        <v>56</v>
      </c>
      <c r="J6" s="218" t="s">
        <v>53</v>
      </c>
      <c r="K6" s="16">
        <f>SUM('9-Városüzemeltetés'!E59)</f>
        <v>690725</v>
      </c>
      <c r="L6" s="770">
        <f>SUM('9-Városüzemeltetés'!$N59)-'9-Városüzemeltetés'!L59-'9-Városüzemeltetés'!M59</f>
        <v>714038</v>
      </c>
      <c r="M6" s="827">
        <f>SUM('9-Városüzemeltetés'!$T59)-'9-Városüzemeltetés'!R59-'9-Városüzemeltetés'!S59</f>
        <v>639702</v>
      </c>
      <c r="N6" s="1158">
        <f t="shared" ref="N6:N9" si="0">M6/L6</f>
        <v>0.89589349586436573</v>
      </c>
      <c r="P6" s="79"/>
    </row>
    <row r="7" spans="1:16" ht="27" customHeight="1" x14ac:dyDescent="0.2">
      <c r="A7" s="216">
        <v>4</v>
      </c>
      <c r="B7" s="217" t="s">
        <v>99</v>
      </c>
      <c r="C7" s="218" t="s">
        <v>24</v>
      </c>
      <c r="D7" s="476">
        <f>'5-Kp.-i tám.'!C9</f>
        <v>0</v>
      </c>
      <c r="E7" s="223">
        <f>'5-Kp.-i tám.'!D9</f>
        <v>258025</v>
      </c>
      <c r="F7" s="1175">
        <f>'5-Kp.-i tám.'!E9</f>
        <v>334918</v>
      </c>
      <c r="G7" s="1164">
        <f>F7/E7</f>
        <v>1.2980060071698478</v>
      </c>
      <c r="H7" s="220">
        <v>4</v>
      </c>
      <c r="I7" s="217" t="s">
        <v>58</v>
      </c>
      <c r="J7" s="218" t="s">
        <v>55</v>
      </c>
      <c r="K7" s="16">
        <f>'10-Szociálpolitikai kiadások'!C23</f>
        <v>92426.35</v>
      </c>
      <c r="L7" s="770">
        <f>'10-Szociálpolitikai kiadások'!D23</f>
        <v>90451</v>
      </c>
      <c r="M7" s="827">
        <f>'10-Szociálpolitikai kiadások'!E23</f>
        <v>68672</v>
      </c>
      <c r="N7" s="1158">
        <f t="shared" si="0"/>
        <v>0.75921769798012184</v>
      </c>
      <c r="P7" s="79"/>
    </row>
    <row r="8" spans="1:16" ht="27" customHeight="1" x14ac:dyDescent="0.2">
      <c r="A8" s="216">
        <v>5</v>
      </c>
      <c r="B8" s="217" t="s">
        <v>60</v>
      </c>
      <c r="C8" s="218" t="s">
        <v>61</v>
      </c>
      <c r="D8" s="18">
        <v>1653563</v>
      </c>
      <c r="E8" s="31">
        <f>'6-Normatíva '!F49/1000</f>
        <v>1463824.692</v>
      </c>
      <c r="F8" s="1174">
        <f>'6-Normatíva '!G49/1000</f>
        <v>1463824.692</v>
      </c>
      <c r="G8" s="1164">
        <f>F8/E8</f>
        <v>1</v>
      </c>
      <c r="H8" s="220">
        <v>5</v>
      </c>
      <c r="I8" s="217" t="s">
        <v>232</v>
      </c>
      <c r="J8" s="225" t="s">
        <v>57</v>
      </c>
      <c r="K8" s="16">
        <f>'11-Pénzátadás'!C35+'8b-ÖK-i feladatok'!F32</f>
        <v>373919.23199999996</v>
      </c>
      <c r="L8" s="770">
        <f>'11-Pénzátadás'!D35+'8b-ÖK-i feladatok'!M32</f>
        <v>452159</v>
      </c>
      <c r="M8" s="827">
        <f>'11-Pénzátadás'!E35+'8b-ÖK-i feladatok'!U32</f>
        <v>451643</v>
      </c>
      <c r="N8" s="1158">
        <f t="shared" si="0"/>
        <v>0.99885880851647324</v>
      </c>
      <c r="P8" s="79"/>
    </row>
    <row r="9" spans="1:16" ht="27" customHeight="1" x14ac:dyDescent="0.2">
      <c r="A9" s="216">
        <v>6</v>
      </c>
      <c r="B9" s="217" t="s">
        <v>116</v>
      </c>
      <c r="C9" s="218" t="s">
        <v>52</v>
      </c>
      <c r="D9" s="29">
        <f>'2-Helyi adóbevételek'!C14</f>
        <v>82000</v>
      </c>
      <c r="E9" s="223">
        <f>'2-Helyi adóbevételek'!D14</f>
        <v>0</v>
      </c>
      <c r="F9" s="1176">
        <f>'2-Helyi adóbevételek'!E14</f>
        <v>0</v>
      </c>
      <c r="G9" s="1164">
        <v>0</v>
      </c>
      <c r="H9" s="220">
        <v>6</v>
      </c>
      <c r="I9" s="217" t="s">
        <v>222</v>
      </c>
      <c r="J9" s="218" t="s">
        <v>59</v>
      </c>
      <c r="K9" s="16">
        <f>'12-Külön keretek'!C35</f>
        <v>287920</v>
      </c>
      <c r="L9" s="770">
        <f>'12-Külön keretek'!D35</f>
        <v>359757</v>
      </c>
      <c r="M9" s="827">
        <f>'12-Külön keretek'!E35</f>
        <v>237205</v>
      </c>
      <c r="N9" s="1158">
        <f t="shared" si="0"/>
        <v>0.65934783756813631</v>
      </c>
      <c r="P9" s="79"/>
    </row>
    <row r="10" spans="1:16" ht="27" customHeight="1" x14ac:dyDescent="0.2">
      <c r="A10" s="226"/>
      <c r="B10" s="227"/>
      <c r="C10" s="228"/>
      <c r="D10" s="124"/>
      <c r="E10" s="86"/>
      <c r="F10" s="1177"/>
      <c r="G10" s="1164"/>
      <c r="H10" s="220"/>
      <c r="I10" s="217"/>
      <c r="J10" s="218"/>
      <c r="K10" s="15"/>
      <c r="L10" s="771"/>
      <c r="M10" s="828"/>
      <c r="N10" s="1158"/>
      <c r="P10" s="79"/>
    </row>
    <row r="11" spans="1:16" ht="27" customHeight="1" thickBot="1" x14ac:dyDescent="0.25">
      <c r="A11" s="229"/>
      <c r="B11" s="230" t="s">
        <v>63</v>
      </c>
      <c r="C11" s="231"/>
      <c r="D11" s="104">
        <f>SUM(D4:D10)</f>
        <v>4680293</v>
      </c>
      <c r="E11" s="103">
        <f>SUM(E4:E10)</f>
        <v>4320733.6919999998</v>
      </c>
      <c r="F11" s="1178">
        <f>SUM(F4:F10)</f>
        <v>4550191.6919999998</v>
      </c>
      <c r="G11" s="1165">
        <f>F11/E11</f>
        <v>1.0531062584173725</v>
      </c>
      <c r="H11" s="220"/>
      <c r="I11" s="232" t="s">
        <v>63</v>
      </c>
      <c r="J11" s="218"/>
      <c r="K11" s="105">
        <f>SUM(K4:K10)</f>
        <v>4689157.5820000004</v>
      </c>
      <c r="L11" s="829">
        <f>SUM(L4:L10)</f>
        <v>5099599</v>
      </c>
      <c r="M11" s="630">
        <f>SUM(M4:M10)</f>
        <v>4438608</v>
      </c>
      <c r="N11" s="1159">
        <f>M11/L11</f>
        <v>0.87038373017172521</v>
      </c>
      <c r="P11" s="79"/>
    </row>
    <row r="12" spans="1:16" ht="40.15" customHeight="1" thickBot="1" x14ac:dyDescent="0.25">
      <c r="A12" s="233"/>
      <c r="B12" s="234" t="s">
        <v>121</v>
      </c>
      <c r="C12" s="235"/>
      <c r="D12" s="477"/>
      <c r="E12" s="50"/>
      <c r="F12" s="1179"/>
      <c r="G12" s="1170"/>
      <c r="H12" s="236"/>
      <c r="I12" s="237" t="s">
        <v>121</v>
      </c>
      <c r="J12" s="238"/>
      <c r="K12" s="51"/>
      <c r="L12" s="51"/>
      <c r="M12" s="830"/>
      <c r="N12" s="824"/>
      <c r="P12" s="79"/>
    </row>
    <row r="13" spans="1:16" ht="27" customHeight="1" x14ac:dyDescent="0.2">
      <c r="A13" s="239">
        <v>1</v>
      </c>
      <c r="B13" s="240" t="s">
        <v>122</v>
      </c>
      <c r="C13" s="231" t="s">
        <v>62</v>
      </c>
      <c r="D13" s="478">
        <f>'7-Vagyonhasznositási bevétel'!C26</f>
        <v>386328</v>
      </c>
      <c r="E13" s="241">
        <f>'7-Vagyonhasznositási bevétel'!D26</f>
        <v>177828</v>
      </c>
      <c r="F13" s="1180">
        <f>'7-Vagyonhasznositási bevétel'!E26</f>
        <v>72815</v>
      </c>
      <c r="G13" s="1166">
        <f>F13/E13</f>
        <v>0.40946870009222397</v>
      </c>
      <c r="H13" s="220">
        <v>1</v>
      </c>
      <c r="I13" s="242" t="s">
        <v>9</v>
      </c>
      <c r="J13" s="243" t="s">
        <v>118</v>
      </c>
      <c r="K13" s="15">
        <f>'8a-Intézmények kiadása'!G26+'8a-Intézmények kiadása'!H26</f>
        <v>15400</v>
      </c>
      <c r="L13" s="771">
        <f>'8a-Intézmények kiadása'!O26+'8a-Intézmények kiadása'!P26</f>
        <v>163801</v>
      </c>
      <c r="M13" s="828">
        <f>'8a-Intézmények kiadása'!W26+'8a-Intézmények kiadása'!X26</f>
        <v>95823</v>
      </c>
      <c r="N13" s="1160">
        <f>M13/L13</f>
        <v>0.58499642859323198</v>
      </c>
      <c r="P13" s="79"/>
    </row>
    <row r="14" spans="1:16" ht="27" customHeight="1" x14ac:dyDescent="0.2">
      <c r="A14" s="216">
        <v>2</v>
      </c>
      <c r="B14" s="217" t="s">
        <v>64</v>
      </c>
      <c r="C14" s="218" t="s">
        <v>62</v>
      </c>
      <c r="D14" s="18">
        <f>'7-Vagyonhasznositási bevétel'!C29</f>
        <v>300</v>
      </c>
      <c r="E14" s="16">
        <f>'7-Vagyonhasznositási bevétel'!D29</f>
        <v>300</v>
      </c>
      <c r="F14" s="827">
        <f>'7-Vagyonhasznositási bevétel'!E28</f>
        <v>365</v>
      </c>
      <c r="G14" s="1164">
        <f>F14/E14</f>
        <v>1.2166666666666666</v>
      </c>
      <c r="H14" s="220">
        <v>2</v>
      </c>
      <c r="I14" s="217" t="s">
        <v>400</v>
      </c>
      <c r="J14" s="244" t="s">
        <v>117</v>
      </c>
      <c r="K14" s="16">
        <f>'11-Pénzátadás'!C10</f>
        <v>143000</v>
      </c>
      <c r="L14" s="770">
        <f>'11-Pénzátadás'!D10</f>
        <v>52140</v>
      </c>
      <c r="M14" s="827">
        <f>'11-Pénzátadás'!E10</f>
        <v>13500</v>
      </c>
      <c r="N14" s="1161">
        <f>M14/L14</f>
        <v>0.25891829689298046</v>
      </c>
      <c r="P14" s="79"/>
    </row>
    <row r="15" spans="1:16" ht="27" customHeight="1" x14ac:dyDescent="0.2">
      <c r="A15" s="216">
        <v>3</v>
      </c>
      <c r="B15" s="217" t="s">
        <v>146</v>
      </c>
      <c r="C15" s="218" t="s">
        <v>34</v>
      </c>
      <c r="D15" s="479">
        <f>'4-Átvett pe.'!C30</f>
        <v>1607213</v>
      </c>
      <c r="E15" s="30">
        <f>'4-Átvett pe.'!D30</f>
        <v>1974298</v>
      </c>
      <c r="F15" s="1181">
        <f>'4-Átvett pe.'!E30</f>
        <v>532792</v>
      </c>
      <c r="G15" s="1164">
        <f>F15/E15</f>
        <v>0.2698640225538394</v>
      </c>
      <c r="H15" s="220">
        <v>3</v>
      </c>
      <c r="I15" s="217" t="s">
        <v>463</v>
      </c>
      <c r="J15" s="244"/>
      <c r="K15" s="16">
        <v>272017</v>
      </c>
      <c r="L15" s="770">
        <f>20522+75803-1250-18754-1638-5697-13909-853-1746-16323-926-6500-2500-600+1698-2540+70747+7068-7500-6000+1571+96310+700-80000-23000-47000-10500-5000-7278+13153+3350-15211+100137+422+28249+11320-1500-1300-7847-9500-18075-626-9321+37396</f>
        <v>145552</v>
      </c>
      <c r="M15" s="827">
        <v>0</v>
      </c>
      <c r="N15" s="1161">
        <v>0</v>
      </c>
      <c r="P15" s="79"/>
    </row>
    <row r="16" spans="1:16" ht="27" customHeight="1" x14ac:dyDescent="0.2">
      <c r="A16" s="226">
        <v>4</v>
      </c>
      <c r="B16" s="227" t="s">
        <v>422</v>
      </c>
      <c r="C16" s="245"/>
      <c r="D16" s="54">
        <v>1213887</v>
      </c>
      <c r="E16" s="162">
        <f>1213887+469574+37396</f>
        <v>1720857</v>
      </c>
      <c r="F16" s="1182">
        <v>1720857</v>
      </c>
      <c r="G16" s="1164">
        <f>F16/E16</f>
        <v>1</v>
      </c>
      <c r="H16" s="246">
        <v>4</v>
      </c>
      <c r="I16" s="227" t="s">
        <v>195</v>
      </c>
      <c r="J16" s="218"/>
      <c r="K16" s="16">
        <v>216000</v>
      </c>
      <c r="L16" s="770">
        <f>216000-216000</f>
        <v>0</v>
      </c>
      <c r="M16" s="827">
        <v>0</v>
      </c>
      <c r="N16" s="1161">
        <v>0</v>
      </c>
      <c r="P16" s="79"/>
    </row>
    <row r="17" spans="1:16" ht="27" customHeight="1" x14ac:dyDescent="0.2">
      <c r="A17" s="239"/>
      <c r="B17" s="248" t="s">
        <v>63</v>
      </c>
      <c r="C17" s="249"/>
      <c r="D17" s="107">
        <f>SUM(D13:D16)</f>
        <v>3207728</v>
      </c>
      <c r="E17" s="106">
        <f>SUM(E13:E16)</f>
        <v>3873283</v>
      </c>
      <c r="F17" s="1183">
        <f>SUM(F13:F16)</f>
        <v>2326829</v>
      </c>
      <c r="G17" s="1167">
        <f>F17/E17</f>
        <v>0.60073818515197575</v>
      </c>
      <c r="H17" s="247">
        <v>5</v>
      </c>
      <c r="I17" s="144" t="s">
        <v>404</v>
      </c>
      <c r="J17" s="566">
        <v>13.14</v>
      </c>
      <c r="K17" s="567">
        <f>'13-Beruházások'!C48+'14-Felújítások'!C20</f>
        <v>2552446</v>
      </c>
      <c r="L17" s="625">
        <f>'13-Beruházások'!D48+'14-Felújítások'!D20+'9-Városüzemeltetés'!M59+'8b-ÖK-i feladatok'!O32+'8b-ÖK-i feladatok'!P32</f>
        <v>2732925</v>
      </c>
      <c r="M17" s="831">
        <f>'8b-ÖK-i feladatok'!W32+'8b-ÖK-i feladatok'!X32+'9-Városüzemeltetés'!S59+'13-Beruházások'!E48+'14-Felújítások'!E20</f>
        <v>581339</v>
      </c>
      <c r="N17" s="1161">
        <f t="shared" ref="N17" si="1">M17/L17</f>
        <v>0.21271677781131937</v>
      </c>
      <c r="P17" s="79"/>
    </row>
    <row r="18" spans="1:16" ht="27" customHeight="1" thickBot="1" x14ac:dyDescent="0.25">
      <c r="A18" s="250"/>
      <c r="B18" s="251"/>
      <c r="C18" s="252"/>
      <c r="D18" s="22"/>
      <c r="E18" s="253"/>
      <c r="F18" s="1184"/>
      <c r="G18" s="1168"/>
      <c r="H18" s="254"/>
      <c r="I18" s="255" t="s">
        <v>63</v>
      </c>
      <c r="J18" s="256"/>
      <c r="K18" s="146">
        <f>SUM(K13:K17)</f>
        <v>3198863</v>
      </c>
      <c r="L18" s="832">
        <f>SUM(L13:L17)</f>
        <v>3094418</v>
      </c>
      <c r="M18" s="833">
        <f>SUM(M13:M17)</f>
        <v>690662</v>
      </c>
      <c r="N18" s="1162">
        <f>M18/L18</f>
        <v>0.22319609050878064</v>
      </c>
      <c r="P18" s="79"/>
    </row>
    <row r="19" spans="1:16" ht="36" customHeight="1" thickBot="1" x14ac:dyDescent="0.25">
      <c r="A19" s="257"/>
      <c r="B19" s="258" t="s">
        <v>22</v>
      </c>
      <c r="C19" s="259"/>
      <c r="D19" s="480">
        <f>D11+D17</f>
        <v>7888021</v>
      </c>
      <c r="E19" s="108">
        <f>E11+E17</f>
        <v>8194016.6919999998</v>
      </c>
      <c r="F19" s="1185">
        <f>F11+F17+F18</f>
        <v>6877020.6919999998</v>
      </c>
      <c r="G19" s="1171">
        <f>F19/E19</f>
        <v>0.83927345409415477</v>
      </c>
      <c r="H19" s="260"/>
      <c r="I19" s="261" t="s">
        <v>65</v>
      </c>
      <c r="J19" s="262"/>
      <c r="K19" s="145">
        <f>K11+K18</f>
        <v>7888020.5820000004</v>
      </c>
      <c r="L19" s="145">
        <f>L11+L18</f>
        <v>8194017</v>
      </c>
      <c r="M19" s="834">
        <f>M11+M18</f>
        <v>5129270</v>
      </c>
      <c r="N19" s="825">
        <f>M19/L19</f>
        <v>0.62597746624152717</v>
      </c>
      <c r="P19" s="79"/>
    </row>
    <row r="20" spans="1:16" ht="13.5" thickTop="1" x14ac:dyDescent="0.2"/>
  </sheetData>
  <mergeCells count="10">
    <mergeCell ref="L2:L3"/>
    <mergeCell ref="M2:M3"/>
    <mergeCell ref="N2:N3"/>
    <mergeCell ref="B1:G1"/>
    <mergeCell ref="I1:N1"/>
    <mergeCell ref="D2:D3"/>
    <mergeCell ref="E2:E3"/>
    <mergeCell ref="F2:F3"/>
    <mergeCell ref="G2:G3"/>
    <mergeCell ref="K2:K3"/>
  </mergeCells>
  <phoneticPr fontId="0" type="noConversion"/>
  <printOptions horizontalCentered="1"/>
  <pageMargins left="0.39370078740157483" right="0.39370078740157483" top="1.4960629921259843" bottom="0.35433070866141736" header="0.55118110236220474" footer="0.59055118110236227"/>
  <pageSetup paperSize="8" scale="75" orientation="landscape" r:id="rId1"/>
  <headerFooter alignWithMargins="0">
    <oddHeader>&amp;C&amp;"Times New Roman,Félkövér"&amp;18Beszámoló
2020. december 31.
&amp;"Times New Roman,Normál"&amp;12/adatok ezer forintban/&amp;R&amp;"Times New Roman,Normál"&amp;12 1. sz. 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AB2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Z3" sqref="Z3"/>
    </sheetView>
  </sheetViews>
  <sheetFormatPr defaultRowHeight="12.75" x14ac:dyDescent="0.2"/>
  <cols>
    <col min="1" max="1" width="28.5703125" style="41" customWidth="1"/>
    <col min="2" max="2" width="11.5703125" style="41" customWidth="1"/>
    <col min="3" max="3" width="8.5703125" style="41" customWidth="1"/>
    <col min="4" max="4" width="10" style="41" customWidth="1"/>
    <col min="5" max="5" width="8.42578125" style="41" customWidth="1"/>
    <col min="6" max="6" width="6.7109375" style="41" customWidth="1"/>
    <col min="7" max="7" width="8" style="41" customWidth="1"/>
    <col min="8" max="8" width="8.140625" style="41" bestFit="1" customWidth="1"/>
    <col min="9" max="10" width="10.42578125" style="41" bestFit="1" customWidth="1"/>
    <col min="11" max="11" width="8.7109375" style="41" customWidth="1"/>
    <col min="12" max="12" width="9.42578125" style="41" customWidth="1"/>
    <col min="13" max="13" width="9.140625" style="41" customWidth="1"/>
    <col min="14" max="14" width="6.7109375" style="41" customWidth="1"/>
    <col min="15" max="16" width="8.42578125" style="41" bestFit="1" customWidth="1"/>
    <col min="17" max="18" width="10.42578125" style="41" bestFit="1" customWidth="1"/>
    <col min="19" max="19" width="9.28515625" style="41" bestFit="1" customWidth="1"/>
    <col min="20" max="20" width="9.85546875" style="41" customWidth="1"/>
    <col min="21" max="21" width="9.140625" style="41" bestFit="1" customWidth="1"/>
    <col min="22" max="22" width="6.28515625" style="41" customWidth="1"/>
    <col min="23" max="24" width="8.7109375" style="41" customWidth="1"/>
    <col min="25" max="25" width="10.7109375" style="41" bestFit="1" customWidth="1"/>
    <col min="26" max="26" width="10.28515625" style="41" customWidth="1"/>
  </cols>
  <sheetData>
    <row r="1" spans="1:28" ht="19.5" thickTop="1" x14ac:dyDescent="0.2">
      <c r="A1" s="6"/>
      <c r="B1" s="1253" t="s">
        <v>565</v>
      </c>
      <c r="C1" s="1254"/>
      <c r="D1" s="1254"/>
      <c r="E1" s="1254"/>
      <c r="F1" s="1254"/>
      <c r="G1" s="1254"/>
      <c r="H1" s="1254"/>
      <c r="I1" s="1254"/>
      <c r="J1" s="1255" t="s">
        <v>566</v>
      </c>
      <c r="K1" s="1254"/>
      <c r="L1" s="1254"/>
      <c r="M1" s="1254"/>
      <c r="N1" s="1254"/>
      <c r="O1" s="1254"/>
      <c r="P1" s="1254"/>
      <c r="Q1" s="1254"/>
      <c r="R1" s="1255" t="s">
        <v>606</v>
      </c>
      <c r="S1" s="1254"/>
      <c r="T1" s="1254"/>
      <c r="U1" s="1254"/>
      <c r="V1" s="1254"/>
      <c r="W1" s="1254"/>
      <c r="X1" s="1254"/>
      <c r="Y1" s="1254"/>
      <c r="Z1" s="1256" t="s">
        <v>846</v>
      </c>
    </row>
    <row r="2" spans="1:28" ht="72.75" customHeight="1" thickBot="1" x14ac:dyDescent="0.25">
      <c r="A2" s="5" t="s">
        <v>66</v>
      </c>
      <c r="B2" s="150" t="s">
        <v>77</v>
      </c>
      <c r="C2" s="42" t="s">
        <v>79</v>
      </c>
      <c r="D2" s="42" t="s">
        <v>80</v>
      </c>
      <c r="E2" s="42" t="s">
        <v>393</v>
      </c>
      <c r="F2" s="42" t="s">
        <v>82</v>
      </c>
      <c r="G2" s="42" t="s">
        <v>78</v>
      </c>
      <c r="H2" s="43" t="s">
        <v>83</v>
      </c>
      <c r="I2" s="42" t="s">
        <v>63</v>
      </c>
      <c r="J2" s="152" t="s">
        <v>77</v>
      </c>
      <c r="K2" s="42" t="s">
        <v>79</v>
      </c>
      <c r="L2" s="42" t="s">
        <v>80</v>
      </c>
      <c r="M2" s="42" t="s">
        <v>393</v>
      </c>
      <c r="N2" s="42" t="s">
        <v>82</v>
      </c>
      <c r="O2" s="42" t="s">
        <v>78</v>
      </c>
      <c r="P2" s="43" t="s">
        <v>83</v>
      </c>
      <c r="Q2" s="42" t="s">
        <v>63</v>
      </c>
      <c r="R2" s="152" t="s">
        <v>77</v>
      </c>
      <c r="S2" s="42" t="s">
        <v>79</v>
      </c>
      <c r="T2" s="42" t="s">
        <v>80</v>
      </c>
      <c r="U2" s="43" t="s">
        <v>223</v>
      </c>
      <c r="V2" s="42" t="s">
        <v>82</v>
      </c>
      <c r="W2" s="42" t="s">
        <v>78</v>
      </c>
      <c r="X2" s="43" t="s">
        <v>83</v>
      </c>
      <c r="Y2" s="42" t="s">
        <v>63</v>
      </c>
      <c r="Z2" s="1257"/>
    </row>
    <row r="3" spans="1:28" s="309" customFormat="1" ht="35.1" customHeight="1" x14ac:dyDescent="0.2">
      <c r="A3" s="305" t="s">
        <v>30</v>
      </c>
      <c r="B3" s="307">
        <v>371699</v>
      </c>
      <c r="C3" s="306">
        <v>68101</v>
      </c>
      <c r="D3" s="306">
        <v>137353</v>
      </c>
      <c r="E3" s="306"/>
      <c r="F3" s="306"/>
      <c r="G3" s="306"/>
      <c r="H3" s="306"/>
      <c r="I3" s="429">
        <f>SUM(B3:H3)</f>
        <v>577153</v>
      </c>
      <c r="J3" s="307">
        <v>400248</v>
      </c>
      <c r="K3" s="306">
        <v>71709</v>
      </c>
      <c r="L3" s="306">
        <v>178449</v>
      </c>
      <c r="M3" s="306">
        <f>6037+10725</f>
        <v>16762</v>
      </c>
      <c r="N3" s="306">
        <v>0</v>
      </c>
      <c r="O3" s="306">
        <v>11193</v>
      </c>
      <c r="P3" s="306">
        <v>5500</v>
      </c>
      <c r="Q3" s="596">
        <f>SUM(J3:P3)</f>
        <v>683861</v>
      </c>
      <c r="R3" s="813">
        <v>375532</v>
      </c>
      <c r="S3" s="596">
        <v>62733</v>
      </c>
      <c r="T3" s="596">
        <v>172858</v>
      </c>
      <c r="U3" s="596">
        <v>16412</v>
      </c>
      <c r="V3" s="596">
        <v>0</v>
      </c>
      <c r="W3" s="596">
        <v>11047</v>
      </c>
      <c r="X3" s="596">
        <v>5500</v>
      </c>
      <c r="Y3" s="814">
        <f t="shared" ref="Y3:Y15" si="0">SUM(R3:X3)</f>
        <v>644082</v>
      </c>
      <c r="Z3" s="308">
        <f>Y3/Q3</f>
        <v>0.94183174650989021</v>
      </c>
      <c r="AB3" s="311"/>
    </row>
    <row r="4" spans="1:28" ht="21" customHeight="1" x14ac:dyDescent="0.2">
      <c r="A4" s="8" t="s">
        <v>225</v>
      </c>
      <c r="B4" s="151">
        <v>960</v>
      </c>
      <c r="C4" s="33">
        <v>151</v>
      </c>
      <c r="D4" s="33">
        <v>21291</v>
      </c>
      <c r="E4" s="33"/>
      <c r="F4" s="33"/>
      <c r="G4" s="33"/>
      <c r="H4" s="33"/>
      <c r="I4" s="430">
        <f>SUM(B4:H4)</f>
        <v>22402</v>
      </c>
      <c r="J4" s="151"/>
      <c r="K4" s="33"/>
      <c r="L4" s="33">
        <v>17451</v>
      </c>
      <c r="M4" s="33"/>
      <c r="N4" s="33"/>
      <c r="O4" s="33"/>
      <c r="P4" s="33"/>
      <c r="Q4" s="766">
        <f>SUM(J4:P4)</f>
        <v>17451</v>
      </c>
      <c r="R4" s="810"/>
      <c r="S4" s="766"/>
      <c r="T4" s="766">
        <v>17451</v>
      </c>
      <c r="U4" s="766"/>
      <c r="V4" s="766"/>
      <c r="W4" s="766"/>
      <c r="X4" s="766"/>
      <c r="Y4" s="769">
        <f t="shared" si="0"/>
        <v>17451</v>
      </c>
      <c r="Z4" s="287"/>
      <c r="AB4" s="311"/>
    </row>
    <row r="5" spans="1:28" ht="20.25" customHeight="1" x14ac:dyDescent="0.2">
      <c r="A5" s="8" t="s">
        <v>224</v>
      </c>
      <c r="B5" s="151">
        <f t="shared" ref="B5:C5" si="1">B3-B4</f>
        <v>370739</v>
      </c>
      <c r="C5" s="33">
        <f t="shared" si="1"/>
        <v>67950</v>
      </c>
      <c r="D5" s="33">
        <f>D3-D4</f>
        <v>116062</v>
      </c>
      <c r="E5" s="33"/>
      <c r="F5" s="33"/>
      <c r="G5" s="33"/>
      <c r="H5" s="33"/>
      <c r="I5" s="431">
        <f>SUM(B5:H5)</f>
        <v>554751</v>
      </c>
      <c r="J5" s="33">
        <f t="shared" ref="J5:P5" si="2">J3-J4</f>
        <v>400248</v>
      </c>
      <c r="K5" s="33">
        <f t="shared" si="2"/>
        <v>71709</v>
      </c>
      <c r="L5" s="33">
        <f t="shared" si="2"/>
        <v>160998</v>
      </c>
      <c r="M5" s="33">
        <f t="shared" si="2"/>
        <v>16762</v>
      </c>
      <c r="N5" s="33">
        <f t="shared" si="2"/>
        <v>0</v>
      </c>
      <c r="O5" s="33">
        <f t="shared" si="2"/>
        <v>11193</v>
      </c>
      <c r="P5" s="33">
        <f t="shared" si="2"/>
        <v>5500</v>
      </c>
      <c r="Q5" s="766">
        <f>SUM(J5:P5)</f>
        <v>666410</v>
      </c>
      <c r="R5" s="810">
        <f t="shared" ref="R5:S5" si="3">R3-R4</f>
        <v>375532</v>
      </c>
      <c r="S5" s="766">
        <f t="shared" si="3"/>
        <v>62733</v>
      </c>
      <c r="T5" s="766">
        <f>T3-T4</f>
        <v>155407</v>
      </c>
      <c r="U5" s="766">
        <f t="shared" ref="U5:X5" si="4">U3-U4</f>
        <v>16412</v>
      </c>
      <c r="V5" s="766">
        <f t="shared" si="4"/>
        <v>0</v>
      </c>
      <c r="W5" s="766">
        <f t="shared" si="4"/>
        <v>11047</v>
      </c>
      <c r="X5" s="766">
        <f t="shared" si="4"/>
        <v>5500</v>
      </c>
      <c r="Y5" s="769">
        <f t="shared" si="0"/>
        <v>626631</v>
      </c>
      <c r="Z5" s="287"/>
      <c r="AB5" s="311"/>
    </row>
    <row r="6" spans="1:28" s="309" customFormat="1" ht="39.950000000000003" customHeight="1" x14ac:dyDescent="0.2">
      <c r="A6" s="305" t="s">
        <v>363</v>
      </c>
      <c r="B6" s="307">
        <v>431002</v>
      </c>
      <c r="C6" s="306">
        <v>87100</v>
      </c>
      <c r="D6" s="306">
        <v>53609</v>
      </c>
      <c r="E6" s="306"/>
      <c r="F6" s="306"/>
      <c r="G6" s="306">
        <v>0</v>
      </c>
      <c r="H6" s="306"/>
      <c r="I6" s="432">
        <f>SUM(B6:H6)</f>
        <v>571711</v>
      </c>
      <c r="J6" s="598">
        <v>459084</v>
      </c>
      <c r="K6" s="597">
        <v>89232</v>
      </c>
      <c r="L6" s="597">
        <v>54937</v>
      </c>
      <c r="M6" s="597">
        <v>11463</v>
      </c>
      <c r="N6" s="597">
        <v>0</v>
      </c>
      <c r="O6" s="597">
        <v>7721</v>
      </c>
      <c r="P6" s="597">
        <v>2536</v>
      </c>
      <c r="Q6" s="596">
        <f>SUM(J6:P6)</f>
        <v>624973</v>
      </c>
      <c r="R6" s="813">
        <v>453911</v>
      </c>
      <c r="S6" s="596">
        <v>84019</v>
      </c>
      <c r="T6" s="596">
        <v>44872</v>
      </c>
      <c r="U6" s="596">
        <v>11463</v>
      </c>
      <c r="V6" s="596">
        <v>0</v>
      </c>
      <c r="W6" s="596">
        <v>7345</v>
      </c>
      <c r="X6" s="596">
        <v>2054</v>
      </c>
      <c r="Y6" s="814">
        <f t="shared" si="0"/>
        <v>603664</v>
      </c>
      <c r="Z6" s="310">
        <f>Y6/Q6</f>
        <v>0.96590412705828887</v>
      </c>
      <c r="AB6" s="311"/>
    </row>
    <row r="7" spans="1:28" ht="21" customHeight="1" x14ac:dyDescent="0.2">
      <c r="A7" s="8" t="s">
        <v>225</v>
      </c>
      <c r="B7" s="151">
        <f>B6-B8</f>
        <v>431002</v>
      </c>
      <c r="C7" s="33">
        <f>C6-C8</f>
        <v>87100</v>
      </c>
      <c r="D7" s="33">
        <f>D6-D8</f>
        <v>53609</v>
      </c>
      <c r="E7" s="44"/>
      <c r="F7" s="44"/>
      <c r="G7" s="33"/>
      <c r="H7" s="33"/>
      <c r="I7" s="12">
        <f>I6-I8</f>
        <v>571711</v>
      </c>
      <c r="J7" s="151">
        <f>J6-J8</f>
        <v>459084</v>
      </c>
      <c r="K7" s="33">
        <f>K6-K8</f>
        <v>89232</v>
      </c>
      <c r="L7" s="33">
        <f t="shared" ref="L7:P7" si="5">L6-L8</f>
        <v>54937</v>
      </c>
      <c r="M7" s="33">
        <f t="shared" si="5"/>
        <v>11463</v>
      </c>
      <c r="N7" s="33">
        <f t="shared" si="5"/>
        <v>0</v>
      </c>
      <c r="O7" s="33">
        <f t="shared" si="5"/>
        <v>7721</v>
      </c>
      <c r="P7" s="33">
        <f t="shared" si="5"/>
        <v>2536</v>
      </c>
      <c r="Q7" s="649">
        <f t="shared" ref="Q7:Q21" si="6">SUM(J7:P7)</f>
        <v>624973</v>
      </c>
      <c r="R7" s="810">
        <f>R6-R8</f>
        <v>453911</v>
      </c>
      <c r="S7" s="766">
        <f>S6-S8</f>
        <v>84019</v>
      </c>
      <c r="T7" s="766">
        <f>T6-T8</f>
        <v>44872</v>
      </c>
      <c r="U7" s="766">
        <f>U6-U8</f>
        <v>11463</v>
      </c>
      <c r="V7" s="766">
        <f t="shared" ref="V7:X7" si="7">V6-V8</f>
        <v>0</v>
      </c>
      <c r="W7" s="766">
        <f t="shared" si="7"/>
        <v>7345</v>
      </c>
      <c r="X7" s="766">
        <f t="shared" si="7"/>
        <v>2054</v>
      </c>
      <c r="Y7" s="744">
        <f>Y6-Y8</f>
        <v>603664</v>
      </c>
      <c r="Z7" s="167"/>
      <c r="AB7" s="311"/>
    </row>
    <row r="8" spans="1:28" ht="21" customHeight="1" x14ac:dyDescent="0.2">
      <c r="A8" s="8" t="s">
        <v>224</v>
      </c>
      <c r="B8" s="151"/>
      <c r="C8" s="33"/>
      <c r="D8" s="44"/>
      <c r="E8" s="44"/>
      <c r="F8" s="44"/>
      <c r="G8" s="33"/>
      <c r="H8" s="33"/>
      <c r="I8" s="12">
        <f>SUM(B8:H8)</f>
        <v>0</v>
      </c>
      <c r="J8" s="151"/>
      <c r="K8" s="33"/>
      <c r="L8" s="44"/>
      <c r="M8" s="44"/>
      <c r="N8" s="44"/>
      <c r="O8" s="33"/>
      <c r="P8" s="33"/>
      <c r="Q8" s="649">
        <f t="shared" si="6"/>
        <v>0</v>
      </c>
      <c r="R8" s="810"/>
      <c r="S8" s="766"/>
      <c r="T8" s="815"/>
      <c r="U8" s="815"/>
      <c r="V8" s="766"/>
      <c r="W8" s="766"/>
      <c r="X8" s="766"/>
      <c r="Y8" s="744">
        <f>SUM(R8:X8)</f>
        <v>0</v>
      </c>
      <c r="Z8" s="167"/>
      <c r="AB8" s="311"/>
    </row>
    <row r="9" spans="1:28" s="309" customFormat="1" ht="35.1" customHeight="1" x14ac:dyDescent="0.2">
      <c r="A9" s="305" t="s">
        <v>95</v>
      </c>
      <c r="B9" s="307">
        <v>72746</v>
      </c>
      <c r="C9" s="306">
        <v>13376</v>
      </c>
      <c r="D9" s="306">
        <v>220096</v>
      </c>
      <c r="E9" s="306"/>
      <c r="F9" s="306"/>
      <c r="G9" s="306">
        <v>0</v>
      </c>
      <c r="H9" s="306"/>
      <c r="I9" s="596">
        <f>SUM(B9:H9)</f>
        <v>306218</v>
      </c>
      <c r="J9" s="598">
        <v>84835</v>
      </c>
      <c r="K9" s="597">
        <v>15232</v>
      </c>
      <c r="L9" s="597">
        <v>168889</v>
      </c>
      <c r="M9" s="597">
        <v>4161</v>
      </c>
      <c r="N9" s="597">
        <v>0</v>
      </c>
      <c r="O9" s="597">
        <v>13697</v>
      </c>
      <c r="P9" s="597">
        <v>1500</v>
      </c>
      <c r="Q9" s="596">
        <f>SUM(J9:P9)</f>
        <v>288314</v>
      </c>
      <c r="R9" s="813">
        <v>61771</v>
      </c>
      <c r="S9" s="596">
        <v>11400</v>
      </c>
      <c r="T9" s="596">
        <v>131801</v>
      </c>
      <c r="U9" s="596">
        <v>4161</v>
      </c>
      <c r="V9" s="596">
        <v>0</v>
      </c>
      <c r="W9" s="596">
        <v>12828</v>
      </c>
      <c r="X9" s="596">
        <v>1480</v>
      </c>
      <c r="Y9" s="814">
        <f t="shared" si="0"/>
        <v>223441</v>
      </c>
      <c r="Z9" s="310">
        <f>Y9/Q9</f>
        <v>0.77499184916445263</v>
      </c>
      <c r="AB9" s="311"/>
    </row>
    <row r="10" spans="1:28" ht="21" customHeight="1" x14ac:dyDescent="0.2">
      <c r="A10" s="8" t="s">
        <v>225</v>
      </c>
      <c r="B10" s="151">
        <f>B9-B11</f>
        <v>72746</v>
      </c>
      <c r="C10" s="33">
        <f>C9-C11</f>
        <v>13376</v>
      </c>
      <c r="D10" s="44">
        <f>D9-D11</f>
        <v>215096</v>
      </c>
      <c r="E10" s="44">
        <f t="shared" ref="E10" si="8">E9-E11</f>
        <v>0</v>
      </c>
      <c r="F10" s="33"/>
      <c r="G10" s="33"/>
      <c r="H10" s="33"/>
      <c r="I10" s="12">
        <f>SUM(B10:H10)</f>
        <v>301218</v>
      </c>
      <c r="J10" s="151">
        <f>J9-J11</f>
        <v>84835</v>
      </c>
      <c r="K10" s="33">
        <f>K9-K11</f>
        <v>15232</v>
      </c>
      <c r="L10" s="33">
        <f>L9-L11</f>
        <v>163092</v>
      </c>
      <c r="M10" s="33">
        <f t="shared" ref="M10:P10" si="9">M9-M11</f>
        <v>4161</v>
      </c>
      <c r="N10" s="33">
        <f t="shared" si="9"/>
        <v>0</v>
      </c>
      <c r="O10" s="33">
        <f t="shared" si="9"/>
        <v>13697</v>
      </c>
      <c r="P10" s="33">
        <f t="shared" si="9"/>
        <v>1500</v>
      </c>
      <c r="Q10" s="649">
        <f t="shared" si="6"/>
        <v>282517</v>
      </c>
      <c r="R10" s="810">
        <f>R9-R11</f>
        <v>61771</v>
      </c>
      <c r="S10" s="766">
        <f t="shared" ref="S10:X10" si="10">S9-S11</f>
        <v>11400</v>
      </c>
      <c r="T10" s="766">
        <f t="shared" si="10"/>
        <v>128396</v>
      </c>
      <c r="U10" s="766">
        <f t="shared" si="10"/>
        <v>4161</v>
      </c>
      <c r="V10" s="766">
        <f t="shared" si="10"/>
        <v>0</v>
      </c>
      <c r="W10" s="766">
        <f t="shared" si="10"/>
        <v>12828</v>
      </c>
      <c r="X10" s="766">
        <f t="shared" si="10"/>
        <v>1480</v>
      </c>
      <c r="Y10" s="744">
        <f>SUM(R10:X10)</f>
        <v>220036</v>
      </c>
      <c r="Z10" s="167"/>
      <c r="AB10" s="311"/>
    </row>
    <row r="11" spans="1:28" ht="21" customHeight="1" x14ac:dyDescent="0.2">
      <c r="A11" s="8" t="s">
        <v>224</v>
      </c>
      <c r="B11" s="151"/>
      <c r="C11" s="33"/>
      <c r="D11" s="44">
        <v>5000</v>
      </c>
      <c r="E11" s="44"/>
      <c r="F11" s="44"/>
      <c r="G11" s="33"/>
      <c r="H11" s="33"/>
      <c r="I11" s="12">
        <f>SUM(B11:H11)</f>
        <v>5000</v>
      </c>
      <c r="J11" s="151"/>
      <c r="K11" s="33"/>
      <c r="L11" s="44">
        <v>5797</v>
      </c>
      <c r="M11" s="44"/>
      <c r="N11" s="44"/>
      <c r="O11" s="33"/>
      <c r="P11" s="33"/>
      <c r="Q11" s="649">
        <f t="shared" si="6"/>
        <v>5797</v>
      </c>
      <c r="R11" s="810"/>
      <c r="S11" s="766"/>
      <c r="T11" s="815">
        <v>3405</v>
      </c>
      <c r="U11" s="815"/>
      <c r="V11" s="766"/>
      <c r="W11" s="766"/>
      <c r="X11" s="766"/>
      <c r="Y11" s="744">
        <f>SUM(R11:X11)</f>
        <v>3405</v>
      </c>
      <c r="Z11" s="167"/>
      <c r="AB11" s="311"/>
    </row>
    <row r="12" spans="1:28" s="309" customFormat="1" ht="35.1" customHeight="1" x14ac:dyDescent="0.2">
      <c r="A12" s="305" t="s">
        <v>98</v>
      </c>
      <c r="B12" s="307">
        <v>11032</v>
      </c>
      <c r="C12" s="306">
        <v>1841</v>
      </c>
      <c r="D12" s="306">
        <v>9732</v>
      </c>
      <c r="E12" s="306"/>
      <c r="F12" s="306"/>
      <c r="G12" s="306">
        <v>0</v>
      </c>
      <c r="H12" s="306"/>
      <c r="I12" s="432">
        <f>SUM(B12:H12)</f>
        <v>22605</v>
      </c>
      <c r="J12" s="601">
        <v>12970</v>
      </c>
      <c r="K12" s="597">
        <v>2412</v>
      </c>
      <c r="L12" s="597">
        <v>11122</v>
      </c>
      <c r="M12" s="597">
        <v>944</v>
      </c>
      <c r="N12" s="597">
        <v>0</v>
      </c>
      <c r="O12" s="602">
        <v>1507</v>
      </c>
      <c r="P12" s="602"/>
      <c r="Q12" s="596">
        <f>SUM(J12:P12)</f>
        <v>28955</v>
      </c>
      <c r="R12" s="813">
        <v>12779</v>
      </c>
      <c r="S12" s="596">
        <v>2201</v>
      </c>
      <c r="T12" s="596">
        <v>9491</v>
      </c>
      <c r="U12" s="596">
        <v>944</v>
      </c>
      <c r="V12" s="596">
        <v>0</v>
      </c>
      <c r="W12" s="596">
        <v>1507</v>
      </c>
      <c r="X12" s="596">
        <v>0</v>
      </c>
      <c r="Y12" s="814">
        <f t="shared" si="0"/>
        <v>26922</v>
      </c>
      <c r="Z12" s="310">
        <f>Y12/Q12</f>
        <v>0.92978760145052664</v>
      </c>
      <c r="AB12" s="311"/>
    </row>
    <row r="13" spans="1:28" ht="21" customHeight="1" x14ac:dyDescent="0.2">
      <c r="A13" s="8" t="s">
        <v>225</v>
      </c>
      <c r="B13" s="151"/>
      <c r="C13" s="33"/>
      <c r="D13" s="44"/>
      <c r="E13" s="44"/>
      <c r="F13" s="44"/>
      <c r="G13" s="33"/>
      <c r="H13" s="33"/>
      <c r="I13" s="76"/>
      <c r="J13" s="603"/>
      <c r="K13" s="604"/>
      <c r="L13" s="604"/>
      <c r="M13" s="604"/>
      <c r="N13" s="604"/>
      <c r="O13" s="604"/>
      <c r="P13" s="604"/>
      <c r="Q13" s="768">
        <f t="shared" si="6"/>
        <v>0</v>
      </c>
      <c r="R13" s="810"/>
      <c r="S13" s="766"/>
      <c r="T13" s="815"/>
      <c r="U13" s="815"/>
      <c r="V13" s="766"/>
      <c r="W13" s="766"/>
      <c r="X13" s="766"/>
      <c r="Y13" s="744">
        <v>0</v>
      </c>
      <c r="Z13" s="167"/>
      <c r="AB13" s="311"/>
    </row>
    <row r="14" spans="1:28" ht="21" customHeight="1" x14ac:dyDescent="0.2">
      <c r="A14" s="8" t="s">
        <v>224</v>
      </c>
      <c r="B14" s="151">
        <f>B12-B13</f>
        <v>11032</v>
      </c>
      <c r="C14" s="33">
        <f>C12-C13</f>
        <v>1841</v>
      </c>
      <c r="D14" s="33">
        <f>D12-D13</f>
        <v>9732</v>
      </c>
      <c r="E14" s="44"/>
      <c r="F14" s="44"/>
      <c r="G14" s="33"/>
      <c r="H14" s="33"/>
      <c r="I14" s="318">
        <f>SUM(B14:H14)</f>
        <v>22605</v>
      </c>
      <c r="J14" s="603">
        <f>J12-J13</f>
        <v>12970</v>
      </c>
      <c r="K14" s="604">
        <f>K12-K13</f>
        <v>2412</v>
      </c>
      <c r="L14" s="604">
        <f t="shared" ref="L14:M14" si="11">L12-L13</f>
        <v>11122</v>
      </c>
      <c r="M14" s="604">
        <f t="shared" si="11"/>
        <v>944</v>
      </c>
      <c r="N14" s="605"/>
      <c r="O14" s="604">
        <f>O12-O13</f>
        <v>1507</v>
      </c>
      <c r="P14" s="604">
        <f>P12-P13</f>
        <v>0</v>
      </c>
      <c r="Q14" s="649">
        <f t="shared" si="6"/>
        <v>28955</v>
      </c>
      <c r="R14" s="810">
        <f>R12</f>
        <v>12779</v>
      </c>
      <c r="S14" s="766">
        <f>S12</f>
        <v>2201</v>
      </c>
      <c r="T14" s="766">
        <f t="shared" ref="T14:W14" si="12">T12</f>
        <v>9491</v>
      </c>
      <c r="U14" s="766">
        <f t="shared" si="12"/>
        <v>944</v>
      </c>
      <c r="V14" s="766">
        <f t="shared" si="12"/>
        <v>0</v>
      </c>
      <c r="W14" s="766">
        <f t="shared" si="12"/>
        <v>1507</v>
      </c>
      <c r="X14" s="766"/>
      <c r="Y14" s="744">
        <f>SUM(R14:X14)</f>
        <v>26922</v>
      </c>
      <c r="Z14" s="167"/>
      <c r="AB14" s="311"/>
    </row>
    <row r="15" spans="1:28" s="647" customFormat="1" ht="35.1" customHeight="1" x14ac:dyDescent="0.2">
      <c r="A15" s="305" t="s">
        <v>70</v>
      </c>
      <c r="B15" s="307">
        <f>'8c-PH-i feladatok'!C18+'12-Külön keretek'!C37</f>
        <v>311317</v>
      </c>
      <c r="C15" s="306">
        <f>'8c-PH-i feladatok'!D18</f>
        <v>60103</v>
      </c>
      <c r="D15" s="306">
        <f>'8c-PH-i feladatok'!E18+'12-Külön keretek'!C38</f>
        <v>90481</v>
      </c>
      <c r="E15" s="306"/>
      <c r="F15" s="306"/>
      <c r="G15" s="306">
        <f>'13-Beruházások'!C52+'8c-PH-i feladatok'!H18-1000</f>
        <v>14400</v>
      </c>
      <c r="H15" s="306">
        <v>1000</v>
      </c>
      <c r="I15" s="306">
        <f>SUM(B15:H15)</f>
        <v>477301</v>
      </c>
      <c r="J15" s="606">
        <f>'8c-PH-i feladatok'!J18+'12-Külön keretek'!D37-140-122</f>
        <v>361854</v>
      </c>
      <c r="K15" s="602">
        <f>'8c-PH-i feladatok'!K18+140</f>
        <v>68951</v>
      </c>
      <c r="L15" s="602">
        <f>'8c-PH-i feladatok'!L18+122</f>
        <v>98405</v>
      </c>
      <c r="M15" s="602">
        <f>'8c-PH-i feladatok'!M18</f>
        <v>48124</v>
      </c>
      <c r="N15" s="602"/>
      <c r="O15" s="602">
        <f>SUM(O16:O18)</f>
        <v>37074</v>
      </c>
      <c r="P15" s="602">
        <f>SUM(P16:P18)</f>
        <v>35445</v>
      </c>
      <c r="Q15" s="596">
        <f>SUM(J15:P15)</f>
        <v>649853</v>
      </c>
      <c r="R15" s="816">
        <f>'8c-PH-i feladatok'!R18+'12-Külön keretek'!E37-140-122</f>
        <v>319496</v>
      </c>
      <c r="S15" s="817">
        <f>'8c-PH-i feladatok'!S18+140</f>
        <v>58126</v>
      </c>
      <c r="T15" s="817">
        <f>'8c-PH-i feladatok'!T18+122</f>
        <v>62081</v>
      </c>
      <c r="U15" s="817">
        <f>'8c-PH-i feladatok'!U18</f>
        <v>40668</v>
      </c>
      <c r="V15" s="817"/>
      <c r="W15" s="817">
        <f>'8c-PH-i feladatok'!W18+'13-Beruházások'!E50</f>
        <v>25574</v>
      </c>
      <c r="X15" s="817">
        <f>'8c-PH-i feladatok'!X18</f>
        <v>1933</v>
      </c>
      <c r="Y15" s="814">
        <f t="shared" si="0"/>
        <v>507878</v>
      </c>
      <c r="Z15" s="310">
        <f>Y15/Q15</f>
        <v>0.7815275146840901</v>
      </c>
      <c r="AA15" s="645"/>
      <c r="AB15" s="646"/>
    </row>
    <row r="16" spans="1:28" s="41" customFormat="1" ht="21" customHeight="1" x14ac:dyDescent="0.2">
      <c r="A16" s="8" t="s">
        <v>225</v>
      </c>
      <c r="B16" s="151">
        <f>'8c-PH-i feladatok'!C18-'8c-PH-i feladatok'!C4-'8c-PH-i feladatok'!C8-'8c-PH-i feladatok'!C9+'12-Külön keretek'!C37</f>
        <v>279091</v>
      </c>
      <c r="C16" s="33">
        <f>'8c-PH-i feladatok'!D18-'8c-PH-i feladatok'!D4-'8c-PH-i feladatok'!D8-'8c-PH-i feladatok'!D9</f>
        <v>54295</v>
      </c>
      <c r="D16" s="33">
        <f>'8c-PH-i feladatok'!E18-'8c-PH-i feladatok'!E4-'8c-PH-i feladatok'!E8-'8c-PH-i feladatok'!E9+'12-Külön keretek'!C38</f>
        <v>87793</v>
      </c>
      <c r="E16" s="33"/>
      <c r="F16" s="33"/>
      <c r="G16" s="33">
        <f>G15-G17-G18</f>
        <v>14400</v>
      </c>
      <c r="H16" s="33">
        <v>1000</v>
      </c>
      <c r="I16" s="78">
        <f>SUM(B16:H16)</f>
        <v>436579</v>
      </c>
      <c r="J16" s="607">
        <f>J15-J17-J18</f>
        <v>336763</v>
      </c>
      <c r="K16" s="604">
        <f t="shared" ref="K16:L16" si="13">K15-K17-K18</f>
        <v>64431</v>
      </c>
      <c r="L16" s="604">
        <f t="shared" si="13"/>
        <v>96621</v>
      </c>
      <c r="M16" s="604">
        <v>48124</v>
      </c>
      <c r="N16" s="604"/>
      <c r="O16" s="604">
        <f>'13-Beruházások'!D52+'8c-PH-i feladatok'!O18-'8c-PH-i feladatok'!O4</f>
        <v>37074</v>
      </c>
      <c r="P16" s="604">
        <f>'8c-PH-i feladatok'!P18</f>
        <v>35445</v>
      </c>
      <c r="Q16" s="649">
        <f t="shared" si="6"/>
        <v>618458</v>
      </c>
      <c r="R16" s="818">
        <f t="shared" ref="R16:X16" si="14">R15-R17-R18</f>
        <v>295548</v>
      </c>
      <c r="S16" s="223">
        <f t="shared" si="14"/>
        <v>54031</v>
      </c>
      <c r="T16" s="223">
        <f t="shared" si="14"/>
        <v>61126</v>
      </c>
      <c r="U16" s="223">
        <f t="shared" si="14"/>
        <v>40668</v>
      </c>
      <c r="V16" s="223">
        <f t="shared" si="14"/>
        <v>0</v>
      </c>
      <c r="W16" s="223">
        <f t="shared" si="14"/>
        <v>25574</v>
      </c>
      <c r="X16" s="434">
        <f t="shared" si="14"/>
        <v>1933</v>
      </c>
      <c r="Y16" s="770">
        <f>SUM(R16:X16)</f>
        <v>478880</v>
      </c>
      <c r="Z16" s="167"/>
      <c r="AA16" s="648"/>
      <c r="AB16" s="646"/>
    </row>
    <row r="17" spans="1:28" s="41" customFormat="1" ht="21" customHeight="1" x14ac:dyDescent="0.2">
      <c r="A17" s="8" t="s">
        <v>224</v>
      </c>
      <c r="B17" s="518">
        <f>'8c-PH-i feladatok'!C4</f>
        <v>12746</v>
      </c>
      <c r="C17" s="224">
        <f>'8c-PH-i feladatok'!D4</f>
        <v>2290</v>
      </c>
      <c r="D17" s="224">
        <f>'8c-PH-i feladatok'!E4</f>
        <v>705</v>
      </c>
      <c r="E17" s="224"/>
      <c r="F17" s="224"/>
      <c r="G17" s="224"/>
      <c r="H17" s="433"/>
      <c r="I17" s="78">
        <f t="shared" ref="I17:I18" si="15">SUM(B17:H17)</f>
        <v>15741</v>
      </c>
      <c r="J17" s="608">
        <f>'8c-PH-i feladatok'!J4</f>
        <v>12746</v>
      </c>
      <c r="K17" s="609">
        <f>'8c-PH-i feladatok'!K4</f>
        <v>2290</v>
      </c>
      <c r="L17" s="609">
        <f>'8c-PH-i feladatok'!L4</f>
        <v>709</v>
      </c>
      <c r="M17" s="609">
        <f>'8c-PH-i feladatok'!M4</f>
        <v>0</v>
      </c>
      <c r="N17" s="609"/>
      <c r="O17" s="604">
        <f>'8c-PH-i feladatok'!O4</f>
        <v>0</v>
      </c>
      <c r="P17" s="604"/>
      <c r="Q17" s="649">
        <f t="shared" si="6"/>
        <v>15745</v>
      </c>
      <c r="R17" s="818">
        <f>'8c-PH-i feladatok'!R4</f>
        <v>11827</v>
      </c>
      <c r="S17" s="223">
        <f>'8c-PH-i feladatok'!S4</f>
        <v>2020</v>
      </c>
      <c r="T17" s="223">
        <f>'8c-PH-i feladatok'!T4</f>
        <v>236</v>
      </c>
      <c r="U17" s="223">
        <f>'8c-PH-i feladatok'!U4</f>
        <v>0</v>
      </c>
      <c r="V17" s="223">
        <f>'8c-PH-i feladatok'!V4</f>
        <v>0</v>
      </c>
      <c r="W17" s="223">
        <f>'8c-PH-i feladatok'!W4</f>
        <v>0</v>
      </c>
      <c r="X17" s="434"/>
      <c r="Y17" s="770">
        <f>SUM(R17:X17)</f>
        <v>14083</v>
      </c>
      <c r="Z17" s="167"/>
      <c r="AA17" s="648"/>
      <c r="AB17" s="646"/>
    </row>
    <row r="18" spans="1:28" s="41" customFormat="1" ht="21" customHeight="1" x14ac:dyDescent="0.2">
      <c r="A18" s="8" t="s">
        <v>226</v>
      </c>
      <c r="B18" s="151">
        <f>'8c-PH-i feladatok'!C8+'8c-PH-i feladatok'!C9</f>
        <v>19480</v>
      </c>
      <c r="C18" s="33">
        <f>'8c-PH-i feladatok'!D8++'8c-PH-i feladatok'!D9</f>
        <v>3518</v>
      </c>
      <c r="D18" s="33">
        <f>'8c-PH-i feladatok'!E8++'8c-PH-i feladatok'!E9</f>
        <v>1983</v>
      </c>
      <c r="E18" s="33"/>
      <c r="F18" s="33"/>
      <c r="G18" s="33"/>
      <c r="H18" s="33"/>
      <c r="I18" s="427">
        <f t="shared" si="15"/>
        <v>24981</v>
      </c>
      <c r="J18" s="608">
        <f>'8c-PH-i feladatok'!J8+'8c-PH-i feladatok'!J9</f>
        <v>12345</v>
      </c>
      <c r="K18" s="609">
        <f>'8c-PH-i feladatok'!K8+'8c-PH-i feladatok'!K9</f>
        <v>2230</v>
      </c>
      <c r="L18" s="609">
        <f>'8c-PH-i feladatok'!L8+'8c-PH-i feladatok'!L9</f>
        <v>1075</v>
      </c>
      <c r="M18" s="609">
        <f>'8c-PH-i feladatok'!M8+'8c-PH-i feladatok'!M9</f>
        <v>0</v>
      </c>
      <c r="N18" s="609"/>
      <c r="O18" s="609">
        <f>'8c-PH-i feladatok'!O8+'8c-PH-i feladatok'!O9</f>
        <v>0</v>
      </c>
      <c r="P18" s="609"/>
      <c r="Q18" s="649">
        <f t="shared" si="6"/>
        <v>15650</v>
      </c>
      <c r="R18" s="819">
        <f>'8c-PH-i feladatok'!R8+'8c-PH-i feladatok'!R9</f>
        <v>12121</v>
      </c>
      <c r="S18" s="224">
        <f>'8c-PH-i feladatok'!S8+'8c-PH-i feladatok'!S9</f>
        <v>2075</v>
      </c>
      <c r="T18" s="224">
        <f>'8c-PH-i feladatok'!T8+'8c-PH-i feladatok'!T9</f>
        <v>719</v>
      </c>
      <c r="U18" s="224">
        <f>'8c-PH-i feladatok'!U8+'8c-PH-i feladatok'!U9</f>
        <v>0</v>
      </c>
      <c r="V18" s="224">
        <f>'8c-PH-i feladatok'!V8+'8c-PH-i feladatok'!V9</f>
        <v>0</v>
      </c>
      <c r="W18" s="224">
        <f>'8c-PH-i feladatok'!W8+'8c-PH-i feladatok'!W9</f>
        <v>0</v>
      </c>
      <c r="X18" s="433"/>
      <c r="Y18" s="770">
        <f>SUM(R18:X18)</f>
        <v>14915</v>
      </c>
      <c r="Z18" s="167"/>
      <c r="AA18" s="648"/>
      <c r="AB18" s="646"/>
    </row>
    <row r="19" spans="1:28" ht="35.1" customHeight="1" x14ac:dyDescent="0.2">
      <c r="A19" s="450" t="s">
        <v>397</v>
      </c>
      <c r="B19" s="307">
        <v>101353</v>
      </c>
      <c r="C19" s="306">
        <v>20777</v>
      </c>
      <c r="D19" s="306">
        <v>20970</v>
      </c>
      <c r="E19" s="306"/>
      <c r="F19" s="306"/>
      <c r="G19" s="306">
        <v>0</v>
      </c>
      <c r="H19" s="306"/>
      <c r="I19" s="376">
        <f t="shared" ref="I19:I23" si="16">SUM(B19:H19)</f>
        <v>143100</v>
      </c>
      <c r="J19" s="610">
        <v>113770</v>
      </c>
      <c r="K19" s="599">
        <v>22107</v>
      </c>
      <c r="L19" s="599">
        <v>20381</v>
      </c>
      <c r="M19" s="599">
        <v>2988</v>
      </c>
      <c r="N19" s="599">
        <v>0</v>
      </c>
      <c r="O19" s="599">
        <v>921</v>
      </c>
      <c r="P19" s="599">
        <v>0</v>
      </c>
      <c r="Q19" s="767">
        <f>SUM(J19:P19)</f>
        <v>160167</v>
      </c>
      <c r="R19" s="813">
        <v>112336</v>
      </c>
      <c r="S19" s="596">
        <v>21207</v>
      </c>
      <c r="T19" s="596">
        <v>17122</v>
      </c>
      <c r="U19" s="596">
        <v>2988</v>
      </c>
      <c r="V19" s="596">
        <v>0</v>
      </c>
      <c r="W19" s="596">
        <v>921</v>
      </c>
      <c r="X19" s="596">
        <v>0</v>
      </c>
      <c r="Y19" s="814">
        <f t="shared" ref="Y19:Y23" si="17">SUM(R19:X19)</f>
        <v>154574</v>
      </c>
      <c r="Z19" s="310">
        <f>Y19/Q19</f>
        <v>0.96508019754381369</v>
      </c>
      <c r="AA19" s="135"/>
      <c r="AB19" s="311"/>
    </row>
    <row r="20" spans="1:28" ht="21" customHeight="1" x14ac:dyDescent="0.2">
      <c r="A20" s="8" t="s">
        <v>225</v>
      </c>
      <c r="B20" s="288">
        <f>B19-B21</f>
        <v>101353</v>
      </c>
      <c r="C20" s="44">
        <f>C19-C21</f>
        <v>20777</v>
      </c>
      <c r="D20" s="44">
        <f t="shared" ref="D20:H20" si="18">D19-D21</f>
        <v>20246</v>
      </c>
      <c r="E20" s="44">
        <f t="shared" si="18"/>
        <v>0</v>
      </c>
      <c r="F20" s="44">
        <f t="shared" si="18"/>
        <v>0</v>
      </c>
      <c r="G20" s="44">
        <f t="shared" si="18"/>
        <v>0</v>
      </c>
      <c r="H20" s="44">
        <f t="shared" si="18"/>
        <v>0</v>
      </c>
      <c r="I20" s="19">
        <f t="shared" si="16"/>
        <v>142376</v>
      </c>
      <c r="J20" s="611">
        <f>J19-J21</f>
        <v>113582</v>
      </c>
      <c r="K20" s="605">
        <f>K19-K21</f>
        <v>22078</v>
      </c>
      <c r="L20" s="605">
        <f t="shared" ref="L20:P20" si="19">L19-L21</f>
        <v>19771</v>
      </c>
      <c r="M20" s="605">
        <f t="shared" si="19"/>
        <v>2988</v>
      </c>
      <c r="N20" s="605">
        <f t="shared" si="19"/>
        <v>0</v>
      </c>
      <c r="O20" s="605">
        <f t="shared" si="19"/>
        <v>921</v>
      </c>
      <c r="P20" s="605">
        <f t="shared" si="19"/>
        <v>0</v>
      </c>
      <c r="Q20" s="649">
        <f t="shared" si="6"/>
        <v>159340</v>
      </c>
      <c r="R20" s="820">
        <f>R19-R21</f>
        <v>112156</v>
      </c>
      <c r="S20" s="815">
        <f>S19-S21</f>
        <v>21179</v>
      </c>
      <c r="T20" s="815">
        <f>T19-T21</f>
        <v>16517</v>
      </c>
      <c r="U20" s="815">
        <f>U19-U21</f>
        <v>2988</v>
      </c>
      <c r="V20" s="815">
        <f t="shared" ref="V20:W20" si="20">V19-V21</f>
        <v>0</v>
      </c>
      <c r="W20" s="815">
        <f t="shared" si="20"/>
        <v>921</v>
      </c>
      <c r="X20" s="815"/>
      <c r="Y20" s="770">
        <f t="shared" si="17"/>
        <v>153761</v>
      </c>
      <c r="Z20" s="289"/>
      <c r="AA20" s="135"/>
      <c r="AB20" s="311"/>
    </row>
    <row r="21" spans="1:28" ht="21" customHeight="1" x14ac:dyDescent="0.2">
      <c r="A21" s="8" t="s">
        <v>228</v>
      </c>
      <c r="B21" s="288"/>
      <c r="C21" s="44"/>
      <c r="D21" s="44">
        <v>724</v>
      </c>
      <c r="E21" s="44"/>
      <c r="F21" s="44"/>
      <c r="G21" s="44"/>
      <c r="H21" s="44"/>
      <c r="I21" s="19">
        <f t="shared" si="16"/>
        <v>724</v>
      </c>
      <c r="J21" s="611">
        <v>188</v>
      </c>
      <c r="K21" s="605">
        <v>29</v>
      </c>
      <c r="L21" s="605">
        <v>610</v>
      </c>
      <c r="M21" s="605"/>
      <c r="N21" s="605"/>
      <c r="O21" s="605"/>
      <c r="P21" s="612"/>
      <c r="Q21" s="649">
        <f t="shared" si="6"/>
        <v>827</v>
      </c>
      <c r="R21" s="820">
        <v>180</v>
      </c>
      <c r="S21" s="815">
        <v>28</v>
      </c>
      <c r="T21" s="815">
        <v>605</v>
      </c>
      <c r="U21" s="815"/>
      <c r="V21" s="815"/>
      <c r="W21" s="815"/>
      <c r="X21" s="815"/>
      <c r="Y21" s="770">
        <f t="shared" si="17"/>
        <v>813</v>
      </c>
      <c r="Z21" s="289"/>
      <c r="AA21" s="135"/>
      <c r="AB21" s="311"/>
    </row>
    <row r="22" spans="1:28" ht="35.1" customHeight="1" x14ac:dyDescent="0.2">
      <c r="A22" s="450" t="s">
        <v>227</v>
      </c>
      <c r="B22" s="307">
        <v>23871</v>
      </c>
      <c r="C22" s="306">
        <v>4459</v>
      </c>
      <c r="D22" s="306">
        <v>25852</v>
      </c>
      <c r="E22" s="306"/>
      <c r="F22" s="306"/>
      <c r="G22" s="306">
        <v>0</v>
      </c>
      <c r="H22" s="306"/>
      <c r="I22" s="376">
        <f t="shared" si="16"/>
        <v>54182</v>
      </c>
      <c r="J22" s="600">
        <v>33157</v>
      </c>
      <c r="K22" s="599">
        <v>5699</v>
      </c>
      <c r="L22" s="599">
        <v>22275</v>
      </c>
      <c r="M22" s="599">
        <v>730</v>
      </c>
      <c r="N22" s="599">
        <v>0</v>
      </c>
      <c r="O22" s="599">
        <v>32288</v>
      </c>
      <c r="P22" s="599">
        <v>0</v>
      </c>
      <c r="Q22" s="767">
        <f>SUM(J22:P22)</f>
        <v>94149</v>
      </c>
      <c r="R22" s="813">
        <v>29641</v>
      </c>
      <c r="S22" s="596">
        <v>4147</v>
      </c>
      <c r="T22" s="596">
        <v>18831</v>
      </c>
      <c r="U22" s="596">
        <v>730</v>
      </c>
      <c r="V22" s="596">
        <v>0</v>
      </c>
      <c r="W22" s="596">
        <v>14767</v>
      </c>
      <c r="X22" s="596">
        <v>0</v>
      </c>
      <c r="Y22" s="814">
        <f t="shared" si="17"/>
        <v>68116</v>
      </c>
      <c r="Z22" s="310">
        <f>Y22/Q22</f>
        <v>0.72349148689842702</v>
      </c>
      <c r="AA22" s="135"/>
      <c r="AB22" s="311"/>
    </row>
    <row r="23" spans="1:28" ht="51.75" customHeight="1" x14ac:dyDescent="0.2">
      <c r="A23" s="450" t="s">
        <v>399</v>
      </c>
      <c r="B23" s="307">
        <v>232843</v>
      </c>
      <c r="C23" s="306">
        <v>49703</v>
      </c>
      <c r="D23" s="306">
        <v>392953</v>
      </c>
      <c r="E23" s="306"/>
      <c r="F23" s="306"/>
      <c r="G23" s="306">
        <v>0</v>
      </c>
      <c r="H23" s="306"/>
      <c r="I23" s="376">
        <f t="shared" si="16"/>
        <v>675499</v>
      </c>
      <c r="J23" s="610">
        <v>248983</v>
      </c>
      <c r="K23" s="613">
        <v>51442</v>
      </c>
      <c r="L23" s="613">
        <v>324228</v>
      </c>
      <c r="M23" s="613">
        <v>25915</v>
      </c>
      <c r="N23" s="613">
        <v>0</v>
      </c>
      <c r="O23" s="613">
        <v>11168</v>
      </c>
      <c r="P23" s="613">
        <v>3251</v>
      </c>
      <c r="Q23" s="767">
        <f>SUM(J23:P23)</f>
        <v>664987</v>
      </c>
      <c r="R23" s="813">
        <v>242243</v>
      </c>
      <c r="S23" s="596">
        <v>45793</v>
      </c>
      <c r="T23" s="596">
        <v>294864</v>
      </c>
      <c r="U23" s="596">
        <v>25915</v>
      </c>
      <c r="V23" s="596">
        <v>0</v>
      </c>
      <c r="W23" s="596">
        <v>7616</v>
      </c>
      <c r="X23" s="596">
        <v>3251</v>
      </c>
      <c r="Y23" s="814">
        <f t="shared" si="17"/>
        <v>619682</v>
      </c>
      <c r="Z23" s="310">
        <f>Y23/Q23</f>
        <v>0.93187084860305536</v>
      </c>
      <c r="AA23" s="135"/>
      <c r="AB23" s="311"/>
    </row>
    <row r="24" spans="1:28" ht="21" customHeight="1" x14ac:dyDescent="0.2">
      <c r="A24" s="519" t="s">
        <v>445</v>
      </c>
      <c r="B24" s="522">
        <f>B23-B25</f>
        <v>221147</v>
      </c>
      <c r="C24" s="458">
        <f>C23-C25</f>
        <v>47656</v>
      </c>
      <c r="D24" s="458">
        <f t="shared" ref="D24:G24" si="21">D23-D25</f>
        <v>372235</v>
      </c>
      <c r="E24" s="458">
        <f t="shared" si="21"/>
        <v>0</v>
      </c>
      <c r="F24" s="458">
        <f t="shared" si="21"/>
        <v>0</v>
      </c>
      <c r="G24" s="458">
        <f t="shared" si="21"/>
        <v>0</v>
      </c>
      <c r="H24" s="458"/>
      <c r="I24" s="430">
        <f>SUM(B24:H24)</f>
        <v>641038</v>
      </c>
      <c r="J24" s="614">
        <f>J23-J25</f>
        <v>241514</v>
      </c>
      <c r="K24" s="615">
        <f>K23-K25</f>
        <v>50284</v>
      </c>
      <c r="L24" s="615">
        <f t="shared" ref="L24:P24" si="22">L23-L25</f>
        <v>306187</v>
      </c>
      <c r="M24" s="615">
        <f t="shared" si="22"/>
        <v>25915</v>
      </c>
      <c r="N24" s="615">
        <f t="shared" si="22"/>
        <v>0</v>
      </c>
      <c r="O24" s="615">
        <f t="shared" si="22"/>
        <v>11168</v>
      </c>
      <c r="P24" s="615">
        <f t="shared" si="22"/>
        <v>3251</v>
      </c>
      <c r="Q24" s="769">
        <f>SUM(J24:P24)</f>
        <v>638319</v>
      </c>
      <c r="R24" s="821">
        <f>R23-R25</f>
        <v>228919</v>
      </c>
      <c r="S24" s="617">
        <f>S23-S25</f>
        <v>43483</v>
      </c>
      <c r="T24" s="617">
        <f>T23-T25</f>
        <v>275049</v>
      </c>
      <c r="U24" s="617"/>
      <c r="V24" s="617"/>
      <c r="W24" s="617">
        <f>W23-W25</f>
        <v>7616</v>
      </c>
      <c r="X24" s="617">
        <f>X23-X25</f>
        <v>3251</v>
      </c>
      <c r="Y24" s="822">
        <f>R24+S24+T24+W24</f>
        <v>555067</v>
      </c>
      <c r="Z24" s="517"/>
      <c r="AA24" s="135"/>
      <c r="AB24" s="311"/>
    </row>
    <row r="25" spans="1:28" ht="21" customHeight="1" x14ac:dyDescent="0.2">
      <c r="A25" s="8" t="s">
        <v>444</v>
      </c>
      <c r="B25" s="522">
        <v>11696</v>
      </c>
      <c r="C25" s="458">
        <v>2047</v>
      </c>
      <c r="D25" s="458">
        <v>20718</v>
      </c>
      <c r="E25" s="458"/>
      <c r="F25" s="458"/>
      <c r="G25" s="458"/>
      <c r="H25" s="458"/>
      <c r="I25" s="430">
        <f>SUM(B25:H25)</f>
        <v>34461</v>
      </c>
      <c r="J25" s="616">
        <v>7469</v>
      </c>
      <c r="K25" s="617">
        <v>1158</v>
      </c>
      <c r="L25" s="617">
        <v>18041</v>
      </c>
      <c r="M25" s="617"/>
      <c r="N25" s="617"/>
      <c r="O25" s="617"/>
      <c r="P25" s="617"/>
      <c r="Q25" s="625">
        <f>SUM(J25:P25)</f>
        <v>26668</v>
      </c>
      <c r="R25" s="821">
        <v>13324</v>
      </c>
      <c r="S25" s="616">
        <v>2310</v>
      </c>
      <c r="T25" s="617">
        <v>19815</v>
      </c>
      <c r="U25" s="617"/>
      <c r="V25" s="617"/>
      <c r="W25" s="617"/>
      <c r="X25" s="617"/>
      <c r="Y25" s="822">
        <f>R25+S25+T25</f>
        <v>35449</v>
      </c>
      <c r="Z25" s="516"/>
      <c r="AB25" s="311"/>
    </row>
    <row r="26" spans="1:28" s="661" customFormat="1" ht="42" customHeight="1" thickBot="1" x14ac:dyDescent="0.3">
      <c r="A26" s="130" t="s">
        <v>63</v>
      </c>
      <c r="B26" s="656">
        <f t="shared" ref="B26:H26" si="23">B3+B6++B9++B12+B15+B19+B22+B23</f>
        <v>1555863</v>
      </c>
      <c r="C26" s="657">
        <f t="shared" si="23"/>
        <v>305460</v>
      </c>
      <c r="D26" s="657">
        <f t="shared" si="23"/>
        <v>951046</v>
      </c>
      <c r="E26" s="657">
        <f t="shared" si="23"/>
        <v>0</v>
      </c>
      <c r="F26" s="657">
        <f t="shared" si="23"/>
        <v>0</v>
      </c>
      <c r="G26" s="657">
        <f t="shared" si="23"/>
        <v>14400</v>
      </c>
      <c r="H26" s="657">
        <f t="shared" si="23"/>
        <v>1000</v>
      </c>
      <c r="I26" s="658">
        <f>SUM(B26:H26)</f>
        <v>2827769</v>
      </c>
      <c r="J26" s="656">
        <f>J3+J6++J9++J12++J15+J19++J22++J23</f>
        <v>1714901</v>
      </c>
      <c r="K26" s="657">
        <f t="shared" ref="K26:P26" si="24">K3++K6++K9+K12+K15+K19+K22+K23</f>
        <v>326784</v>
      </c>
      <c r="L26" s="657">
        <f>L3++L6++L9+L12+L15+L19+L22+L23</f>
        <v>878686</v>
      </c>
      <c r="M26" s="657">
        <f t="shared" si="24"/>
        <v>111087</v>
      </c>
      <c r="N26" s="657">
        <f t="shared" si="24"/>
        <v>0</v>
      </c>
      <c r="O26" s="657">
        <f>O3++O6++O9+O12+O15+O19+O22+O23</f>
        <v>115569</v>
      </c>
      <c r="P26" s="657">
        <f t="shared" si="24"/>
        <v>48232</v>
      </c>
      <c r="Q26" s="657">
        <f>SUM(J26:P26)</f>
        <v>3195259</v>
      </c>
      <c r="R26" s="823">
        <f t="shared" ref="R26:Y26" si="25">R3+R6+R9+R12+R15+R19+R22+R23</f>
        <v>1607709</v>
      </c>
      <c r="S26" s="659">
        <f t="shared" si="25"/>
        <v>289626</v>
      </c>
      <c r="T26" s="659">
        <f t="shared" si="25"/>
        <v>751920</v>
      </c>
      <c r="U26" s="659">
        <f t="shared" si="25"/>
        <v>103281</v>
      </c>
      <c r="V26" s="659">
        <f t="shared" si="25"/>
        <v>0</v>
      </c>
      <c r="W26" s="659">
        <f t="shared" si="25"/>
        <v>81605</v>
      </c>
      <c r="X26" s="659">
        <f t="shared" si="25"/>
        <v>14218</v>
      </c>
      <c r="Y26" s="657">
        <f t="shared" si="25"/>
        <v>2848359</v>
      </c>
      <c r="Z26" s="660">
        <f>Y26/Q26</f>
        <v>0.89143290105747297</v>
      </c>
      <c r="AB26" s="662"/>
    </row>
    <row r="27" spans="1:28" ht="13.5" thickTop="1" x14ac:dyDescent="0.2">
      <c r="Y27" s="79"/>
    </row>
    <row r="28" spans="1:28" x14ac:dyDescent="0.2">
      <c r="T28" s="79"/>
      <c r="Y28" s="79"/>
    </row>
    <row r="29" spans="1:28" x14ac:dyDescent="0.2">
      <c r="R29" s="79"/>
      <c r="S29" s="79"/>
      <c r="T29" s="79"/>
      <c r="U29" s="79"/>
      <c r="V29" s="79"/>
      <c r="W29" s="79"/>
    </row>
  </sheetData>
  <mergeCells count="4">
    <mergeCell ref="B1:I1"/>
    <mergeCell ref="J1:Q1"/>
    <mergeCell ref="R1:Y1"/>
    <mergeCell ref="Z1:Z2"/>
  </mergeCells>
  <phoneticPr fontId="0" type="noConversion"/>
  <printOptions horizontalCentered="1"/>
  <pageMargins left="0.39370078740157483" right="0.35433070866141736" top="1.0629921259842521" bottom="0.35433070866141736" header="0.51181102362204722" footer="0.19685039370078741"/>
  <pageSetup paperSize="8" scale="55" orientation="landscape" r:id="rId1"/>
  <headerFooter alignWithMargins="0">
    <oddHeader>&amp;C&amp;"Times New Roman CE,Félkövér"&amp;16Önkormányzati intézmények kiadásai 
kötelező, önként vállalt és államigazgatási feladatok szerinti bontásban&amp;"Times New Roman CE,Normál"&amp;18
&amp;11/ ezer Ft /&amp;R&amp;"Times New Roman,Normál"&amp;12 8/a. sz. melléklet</oddHeader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zoomScale="85" zoomScaleNormal="85" workbookViewId="0">
      <pane xSplit="2" ySplit="3" topLeftCell="G4" activePane="bottomRight" state="frozen"/>
      <selection activeCell="L23" sqref="L23"/>
      <selection pane="topRight" activeCell="L23" sqref="L23"/>
      <selection pane="bottomLeft" activeCell="L23" sqref="L23"/>
      <selection pane="bottomRight" activeCell="V8" sqref="V8"/>
    </sheetView>
  </sheetViews>
  <sheetFormatPr defaultColWidth="8.85546875" defaultRowHeight="15.75" x14ac:dyDescent="0.2"/>
  <cols>
    <col min="1" max="1" width="8.85546875" style="41"/>
    <col min="2" max="2" width="49.28515625" style="41" bestFit="1" customWidth="1"/>
    <col min="3" max="25" width="9.140625" style="41"/>
    <col min="26" max="26" width="10.7109375" style="41" customWidth="1"/>
    <col min="27" max="27" width="8.85546875" style="1136"/>
    <col min="28" max="16384" width="8.85546875" style="41"/>
  </cols>
  <sheetData>
    <row r="1" spans="1:28" ht="26.25" customHeight="1" thickTop="1" x14ac:dyDescent="0.2">
      <c r="A1" s="721"/>
      <c r="B1" s="319"/>
      <c r="C1" s="1258" t="s">
        <v>565</v>
      </c>
      <c r="D1" s="1264"/>
      <c r="E1" s="1264"/>
      <c r="F1" s="1264"/>
      <c r="G1" s="1264"/>
      <c r="H1" s="1264"/>
      <c r="I1" s="1269"/>
      <c r="J1" s="1258" t="s">
        <v>566</v>
      </c>
      <c r="K1" s="1264"/>
      <c r="L1" s="1264"/>
      <c r="M1" s="1264"/>
      <c r="N1" s="1264"/>
      <c r="O1" s="1264"/>
      <c r="P1" s="1264"/>
      <c r="Q1" s="1269"/>
      <c r="R1" s="1258" t="s">
        <v>606</v>
      </c>
      <c r="S1" s="1264"/>
      <c r="T1" s="1264"/>
      <c r="U1" s="1264"/>
      <c r="V1" s="1264"/>
      <c r="W1" s="1264"/>
      <c r="X1" s="1264"/>
      <c r="Y1" s="1269"/>
      <c r="Z1" s="1270" t="s">
        <v>677</v>
      </c>
    </row>
    <row r="2" spans="1:28" ht="90" customHeight="1" thickBot="1" x14ac:dyDescent="0.25">
      <c r="A2" s="722" t="s">
        <v>233</v>
      </c>
      <c r="B2" s="320" t="s">
        <v>66</v>
      </c>
      <c r="C2" s="49" t="s">
        <v>77</v>
      </c>
      <c r="D2" s="49" t="s">
        <v>79</v>
      </c>
      <c r="E2" s="49" t="s">
        <v>80</v>
      </c>
      <c r="F2" s="49" t="s">
        <v>81</v>
      </c>
      <c r="G2" s="49" t="s">
        <v>82</v>
      </c>
      <c r="H2" s="49" t="s">
        <v>78</v>
      </c>
      <c r="I2" s="280" t="s">
        <v>63</v>
      </c>
      <c r="J2" s="49" t="s">
        <v>77</v>
      </c>
      <c r="K2" s="49" t="s">
        <v>79</v>
      </c>
      <c r="L2" s="49" t="s">
        <v>80</v>
      </c>
      <c r="M2" s="49" t="s">
        <v>81</v>
      </c>
      <c r="N2" s="49" t="s">
        <v>82</v>
      </c>
      <c r="O2" s="49" t="s">
        <v>78</v>
      </c>
      <c r="P2" s="49" t="s">
        <v>436</v>
      </c>
      <c r="Q2" s="280" t="s">
        <v>63</v>
      </c>
      <c r="R2" s="101" t="s">
        <v>77</v>
      </c>
      <c r="S2" s="49" t="s">
        <v>79</v>
      </c>
      <c r="T2" s="49" t="s">
        <v>80</v>
      </c>
      <c r="U2" s="43" t="s">
        <v>223</v>
      </c>
      <c r="V2" s="49" t="s">
        <v>82</v>
      </c>
      <c r="W2" s="49" t="s">
        <v>78</v>
      </c>
      <c r="X2" s="49" t="s">
        <v>436</v>
      </c>
      <c r="Y2" s="49" t="s">
        <v>63</v>
      </c>
      <c r="Z2" s="1271"/>
    </row>
    <row r="3" spans="1:28" s="509" customFormat="1" ht="35.1" customHeight="1" thickTop="1" x14ac:dyDescent="0.25">
      <c r="A3" s="482"/>
      <c r="B3" s="483" t="s">
        <v>1</v>
      </c>
      <c r="C3" s="484"/>
      <c r="D3" s="484"/>
      <c r="E3" s="484"/>
      <c r="F3" s="484"/>
      <c r="G3" s="484"/>
      <c r="H3" s="484"/>
      <c r="I3" s="485"/>
      <c r="J3" s="484"/>
      <c r="K3" s="484"/>
      <c r="L3" s="484"/>
      <c r="M3" s="484"/>
      <c r="N3" s="484"/>
      <c r="O3" s="484"/>
      <c r="P3" s="484"/>
      <c r="Q3" s="485"/>
      <c r="R3" s="484"/>
      <c r="S3" s="484"/>
      <c r="T3" s="484"/>
      <c r="U3" s="484"/>
      <c r="V3" s="484"/>
      <c r="W3" s="484"/>
      <c r="X3" s="484"/>
      <c r="Y3" s="485"/>
      <c r="Z3" s="486"/>
      <c r="AA3" s="1136"/>
    </row>
    <row r="4" spans="1:28" s="509" customFormat="1" ht="35.1" customHeight="1" x14ac:dyDescent="0.25">
      <c r="A4" s="487" t="s">
        <v>250</v>
      </c>
      <c r="B4" s="488" t="s">
        <v>72</v>
      </c>
      <c r="C4" s="489"/>
      <c r="D4" s="490"/>
      <c r="E4" s="490">
        <v>20000</v>
      </c>
      <c r="F4" s="490"/>
      <c r="G4" s="490"/>
      <c r="H4" s="490"/>
      <c r="I4" s="491">
        <f>SUM(C4:H4)</f>
        <v>20000</v>
      </c>
      <c r="J4" s="489">
        <v>0</v>
      </c>
      <c r="K4" s="490">
        <v>0</v>
      </c>
      <c r="L4" s="490">
        <v>20000</v>
      </c>
      <c r="M4" s="490"/>
      <c r="N4" s="490"/>
      <c r="O4" s="490"/>
      <c r="P4" s="490"/>
      <c r="Q4" s="491">
        <f>SUM(J4:P4)</f>
        <v>20000</v>
      </c>
      <c r="R4" s="489"/>
      <c r="S4" s="490"/>
      <c r="T4" s="490">
        <v>20000</v>
      </c>
      <c r="U4" s="490"/>
      <c r="V4" s="490"/>
      <c r="W4" s="490"/>
      <c r="X4" s="490"/>
      <c r="Y4" s="492">
        <f t="shared" ref="Y4:Y26" si="0">SUM(R4:X4)</f>
        <v>20000</v>
      </c>
      <c r="Z4" s="493">
        <f>Y4/Q4</f>
        <v>1</v>
      </c>
      <c r="AA4" s="1136"/>
      <c r="AB4" s="511"/>
    </row>
    <row r="5" spans="1:28" s="509" customFormat="1" ht="35.1" customHeight="1" x14ac:dyDescent="0.25">
      <c r="A5" s="487" t="s">
        <v>251</v>
      </c>
      <c r="B5" s="488" t="s">
        <v>25</v>
      </c>
      <c r="C5" s="489"/>
      <c r="D5" s="490"/>
      <c r="E5" s="490">
        <v>14900</v>
      </c>
      <c r="F5" s="490"/>
      <c r="G5" s="490"/>
      <c r="H5" s="490"/>
      <c r="I5" s="491">
        <f t="shared" ref="I5:I30" si="1">SUM(C5:H5)</f>
        <v>14900</v>
      </c>
      <c r="J5" s="489">
        <v>0</v>
      </c>
      <c r="K5" s="490">
        <v>0</v>
      </c>
      <c r="L5" s="490">
        <v>14900</v>
      </c>
      <c r="M5" s="490"/>
      <c r="N5" s="490"/>
      <c r="O5" s="490"/>
      <c r="P5" s="490"/>
      <c r="Q5" s="491">
        <f t="shared" ref="Q5:Q26" si="2">SUM(J5:P5)</f>
        <v>14900</v>
      </c>
      <c r="R5" s="489"/>
      <c r="S5" s="490"/>
      <c r="T5" s="490">
        <v>3135</v>
      </c>
      <c r="U5" s="490"/>
      <c r="V5" s="490"/>
      <c r="W5" s="490"/>
      <c r="X5" s="490"/>
      <c r="Y5" s="492">
        <f t="shared" si="0"/>
        <v>3135</v>
      </c>
      <c r="Z5" s="493">
        <f t="shared" ref="Z5:Z30" si="3">Y5/Q5</f>
        <v>0.21040268456375838</v>
      </c>
      <c r="AA5" s="1136"/>
      <c r="AB5" s="511"/>
    </row>
    <row r="6" spans="1:28" s="509" customFormat="1" ht="35.1" customHeight="1" x14ac:dyDescent="0.25">
      <c r="A6" s="487" t="s">
        <v>252</v>
      </c>
      <c r="B6" s="488" t="s">
        <v>91</v>
      </c>
      <c r="C6" s="489">
        <v>51452</v>
      </c>
      <c r="D6" s="490">
        <v>8745</v>
      </c>
      <c r="E6" s="490">
        <v>2700</v>
      </c>
      <c r="F6" s="490"/>
      <c r="G6" s="490"/>
      <c r="H6" s="490"/>
      <c r="I6" s="491">
        <f t="shared" si="1"/>
        <v>62897</v>
      </c>
      <c r="J6" s="489">
        <v>51452</v>
      </c>
      <c r="K6" s="490">
        <v>8904</v>
      </c>
      <c r="L6" s="490">
        <v>2795</v>
      </c>
      <c r="M6" s="490"/>
      <c r="N6" s="490"/>
      <c r="O6" s="490"/>
      <c r="P6" s="490"/>
      <c r="Q6" s="491">
        <f t="shared" si="2"/>
        <v>63151</v>
      </c>
      <c r="R6" s="489">
        <v>48665</v>
      </c>
      <c r="S6" s="490">
        <v>7777</v>
      </c>
      <c r="T6" s="490">
        <v>883</v>
      </c>
      <c r="U6" s="490"/>
      <c r="V6" s="490"/>
      <c r="W6" s="490"/>
      <c r="X6" s="490"/>
      <c r="Y6" s="492">
        <f t="shared" si="0"/>
        <v>57325</v>
      </c>
      <c r="Z6" s="493">
        <f t="shared" si="3"/>
        <v>0.90774492882139635</v>
      </c>
      <c r="AA6" s="1136"/>
      <c r="AB6" s="511"/>
    </row>
    <row r="7" spans="1:28" s="509" customFormat="1" ht="35.1" customHeight="1" x14ac:dyDescent="0.25">
      <c r="A7" s="487" t="s">
        <v>253</v>
      </c>
      <c r="B7" s="488" t="s">
        <v>85</v>
      </c>
      <c r="C7" s="489">
        <v>10105</v>
      </c>
      <c r="D7" s="490">
        <v>1874</v>
      </c>
      <c r="E7" s="490">
        <v>500</v>
      </c>
      <c r="F7" s="490"/>
      <c r="G7" s="490"/>
      <c r="H7" s="490"/>
      <c r="I7" s="491">
        <f t="shared" si="1"/>
        <v>12479</v>
      </c>
      <c r="J7" s="489">
        <v>8445</v>
      </c>
      <c r="K7" s="490">
        <v>1551</v>
      </c>
      <c r="L7" s="490">
        <v>500</v>
      </c>
      <c r="M7" s="490"/>
      <c r="N7" s="490"/>
      <c r="O7" s="490"/>
      <c r="P7" s="490"/>
      <c r="Q7" s="491">
        <f t="shared" si="2"/>
        <v>10496</v>
      </c>
      <c r="R7" s="489">
        <v>7538</v>
      </c>
      <c r="S7" s="490">
        <v>1291</v>
      </c>
      <c r="T7" s="490">
        <v>1</v>
      </c>
      <c r="U7" s="490"/>
      <c r="V7" s="490"/>
      <c r="W7" s="490"/>
      <c r="X7" s="490"/>
      <c r="Y7" s="492">
        <f t="shared" si="0"/>
        <v>8830</v>
      </c>
      <c r="Z7" s="493">
        <f t="shared" si="3"/>
        <v>0.84127286585365857</v>
      </c>
      <c r="AA7" s="1136"/>
      <c r="AB7" s="511"/>
    </row>
    <row r="8" spans="1:28" s="509" customFormat="1" ht="35.1" customHeight="1" x14ac:dyDescent="0.25">
      <c r="A8" s="487" t="s">
        <v>267</v>
      </c>
      <c r="B8" s="488" t="s">
        <v>102</v>
      </c>
      <c r="C8" s="489"/>
      <c r="D8" s="490"/>
      <c r="E8" s="490">
        <v>5000</v>
      </c>
      <c r="F8" s="490"/>
      <c r="G8" s="490"/>
      <c r="H8" s="490"/>
      <c r="I8" s="491">
        <f t="shared" si="1"/>
        <v>5000</v>
      </c>
      <c r="J8" s="489">
        <v>0</v>
      </c>
      <c r="K8" s="490">
        <v>0</v>
      </c>
      <c r="L8" s="490">
        <v>5000</v>
      </c>
      <c r="M8" s="490"/>
      <c r="N8" s="490"/>
      <c r="O8" s="490"/>
      <c r="P8" s="490"/>
      <c r="Q8" s="491">
        <f t="shared" si="2"/>
        <v>5000</v>
      </c>
      <c r="R8" s="489"/>
      <c r="S8" s="490"/>
      <c r="T8" s="490">
        <v>2851</v>
      </c>
      <c r="U8" s="490"/>
      <c r="V8" s="490"/>
      <c r="W8" s="490"/>
      <c r="X8" s="490"/>
      <c r="Y8" s="492">
        <f t="shared" si="0"/>
        <v>2851</v>
      </c>
      <c r="Z8" s="493">
        <f t="shared" si="3"/>
        <v>0.57020000000000004</v>
      </c>
      <c r="AA8" s="1136"/>
      <c r="AB8" s="511"/>
    </row>
    <row r="9" spans="1:28" s="509" customFormat="1" ht="35.1" customHeight="1" x14ac:dyDescent="0.25">
      <c r="A9" s="487" t="s">
        <v>268</v>
      </c>
      <c r="B9" s="488" t="s">
        <v>74</v>
      </c>
      <c r="C9" s="489">
        <v>30</v>
      </c>
      <c r="D9" s="490">
        <v>10</v>
      </c>
      <c r="E9" s="490">
        <v>275</v>
      </c>
      <c r="F9" s="490">
        <v>200</v>
      </c>
      <c r="G9" s="490"/>
      <c r="H9" s="490"/>
      <c r="I9" s="491">
        <f t="shared" si="1"/>
        <v>515</v>
      </c>
      <c r="J9" s="489">
        <v>30</v>
      </c>
      <c r="K9" s="490">
        <v>10</v>
      </c>
      <c r="L9" s="490">
        <v>275</v>
      </c>
      <c r="M9" s="490">
        <v>200</v>
      </c>
      <c r="N9" s="490"/>
      <c r="O9" s="490"/>
      <c r="P9" s="490"/>
      <c r="Q9" s="491">
        <f t="shared" si="2"/>
        <v>515</v>
      </c>
      <c r="R9" s="489">
        <v>20</v>
      </c>
      <c r="S9" s="490">
        <v>7</v>
      </c>
      <c r="T9" s="490">
        <v>17</v>
      </c>
      <c r="U9" s="490"/>
      <c r="V9" s="490"/>
      <c r="W9" s="490"/>
      <c r="X9" s="490"/>
      <c r="Y9" s="492">
        <f t="shared" si="0"/>
        <v>44</v>
      </c>
      <c r="Z9" s="493">
        <f t="shared" si="3"/>
        <v>8.5436893203883493E-2</v>
      </c>
      <c r="AA9" s="1136"/>
      <c r="AB9" s="511"/>
    </row>
    <row r="10" spans="1:28" s="509" customFormat="1" ht="35.1" customHeight="1" x14ac:dyDescent="0.25">
      <c r="A10" s="487" t="s">
        <v>269</v>
      </c>
      <c r="B10" s="488" t="s">
        <v>93</v>
      </c>
      <c r="C10" s="489"/>
      <c r="D10" s="490"/>
      <c r="E10" s="490">
        <v>2383</v>
      </c>
      <c r="F10" s="490"/>
      <c r="G10" s="490"/>
      <c r="H10" s="490"/>
      <c r="I10" s="491">
        <f t="shared" si="1"/>
        <v>2383</v>
      </c>
      <c r="J10" s="489">
        <v>0</v>
      </c>
      <c r="K10" s="490">
        <v>0</v>
      </c>
      <c r="L10" s="490">
        <v>2383</v>
      </c>
      <c r="M10" s="490"/>
      <c r="N10" s="490"/>
      <c r="O10" s="490"/>
      <c r="P10" s="490"/>
      <c r="Q10" s="491">
        <f t="shared" si="2"/>
        <v>2383</v>
      </c>
      <c r="R10" s="489"/>
      <c r="S10" s="490"/>
      <c r="T10" s="490">
        <v>2383</v>
      </c>
      <c r="U10" s="490"/>
      <c r="V10" s="490"/>
      <c r="W10" s="490"/>
      <c r="X10" s="490"/>
      <c r="Y10" s="492">
        <f t="shared" si="0"/>
        <v>2383</v>
      </c>
      <c r="Z10" s="493">
        <f t="shared" si="3"/>
        <v>1</v>
      </c>
      <c r="AA10" s="1136"/>
      <c r="AB10" s="511"/>
    </row>
    <row r="11" spans="1:28" s="509" customFormat="1" ht="35.1" customHeight="1" x14ac:dyDescent="0.25">
      <c r="A11" s="487" t="s">
        <v>271</v>
      </c>
      <c r="B11" s="488" t="s">
        <v>624</v>
      </c>
      <c r="C11" s="489">
        <v>123795</v>
      </c>
      <c r="D11" s="490">
        <v>12493</v>
      </c>
      <c r="E11" s="490">
        <v>200</v>
      </c>
      <c r="F11" s="490"/>
      <c r="G11" s="490"/>
      <c r="H11" s="490"/>
      <c r="I11" s="491">
        <f t="shared" si="1"/>
        <v>136488</v>
      </c>
      <c r="J11" s="489">
        <f>154243+193-12416</f>
        <v>142020</v>
      </c>
      <c r="K11" s="490">
        <f>15158+31</f>
        <v>15189</v>
      </c>
      <c r="L11" s="490">
        <f>200+101</f>
        <v>301</v>
      </c>
      <c r="M11" s="490"/>
      <c r="N11" s="490"/>
      <c r="O11" s="490">
        <v>774</v>
      </c>
      <c r="P11" s="490"/>
      <c r="Q11" s="491">
        <f t="shared" si="2"/>
        <v>158284</v>
      </c>
      <c r="R11" s="489">
        <f>82784+197</f>
        <v>82981</v>
      </c>
      <c r="S11" s="490">
        <f>7689+31</f>
        <v>7720</v>
      </c>
      <c r="T11" s="490">
        <v>145</v>
      </c>
      <c r="U11" s="490"/>
      <c r="V11" s="490"/>
      <c r="W11" s="490">
        <v>774</v>
      </c>
      <c r="X11" s="490"/>
      <c r="Y11" s="492">
        <f t="shared" si="0"/>
        <v>91620</v>
      </c>
      <c r="Z11" s="493">
        <f t="shared" si="3"/>
        <v>0.57883298375072656</v>
      </c>
      <c r="AA11" s="1136"/>
      <c r="AB11" s="511"/>
    </row>
    <row r="12" spans="1:28" s="509" customFormat="1" ht="35.1" customHeight="1" x14ac:dyDescent="0.25">
      <c r="A12" s="487" t="s">
        <v>272</v>
      </c>
      <c r="B12" s="488" t="s">
        <v>100</v>
      </c>
      <c r="C12" s="489"/>
      <c r="D12" s="490"/>
      <c r="E12" s="490">
        <v>25000</v>
      </c>
      <c r="F12" s="490"/>
      <c r="G12" s="490"/>
      <c r="H12" s="490"/>
      <c r="I12" s="491">
        <f t="shared" si="1"/>
        <v>25000</v>
      </c>
      <c r="J12" s="489">
        <v>0</v>
      </c>
      <c r="K12" s="490">
        <v>0</v>
      </c>
      <c r="L12" s="490">
        <v>25000</v>
      </c>
      <c r="M12" s="490"/>
      <c r="N12" s="490"/>
      <c r="O12" s="490"/>
      <c r="P12" s="490"/>
      <c r="Q12" s="491">
        <f t="shared" si="2"/>
        <v>25000</v>
      </c>
      <c r="R12" s="489"/>
      <c r="S12" s="490"/>
      <c r="T12" s="490">
        <v>1005</v>
      </c>
      <c r="U12" s="490"/>
      <c r="V12" s="490"/>
      <c r="W12" s="490"/>
      <c r="X12" s="490"/>
      <c r="Y12" s="492">
        <f t="shared" si="0"/>
        <v>1005</v>
      </c>
      <c r="Z12" s="493">
        <f t="shared" si="3"/>
        <v>4.02E-2</v>
      </c>
      <c r="AA12" s="1136"/>
      <c r="AB12" s="511"/>
    </row>
    <row r="13" spans="1:28" s="509" customFormat="1" ht="35.1" customHeight="1" x14ac:dyDescent="0.25">
      <c r="A13" s="487" t="s">
        <v>273</v>
      </c>
      <c r="B13" s="488" t="s">
        <v>88</v>
      </c>
      <c r="C13" s="489">
        <v>12393</v>
      </c>
      <c r="D13" s="490">
        <v>2320</v>
      </c>
      <c r="E13" s="490">
        <v>18034</v>
      </c>
      <c r="F13" s="490"/>
      <c r="G13" s="490"/>
      <c r="H13" s="490"/>
      <c r="I13" s="491">
        <f t="shared" si="1"/>
        <v>32747</v>
      </c>
      <c r="J13" s="489">
        <f>13005+52+25+12</f>
        <v>13094</v>
      </c>
      <c r="K13" s="490">
        <v>2416</v>
      </c>
      <c r="L13" s="490">
        <f>15034-45-38</f>
        <v>14951</v>
      </c>
      <c r="M13" s="490"/>
      <c r="N13" s="490"/>
      <c r="O13" s="490">
        <f>34+38</f>
        <v>72</v>
      </c>
      <c r="P13" s="490">
        <v>11</v>
      </c>
      <c r="Q13" s="491">
        <f t="shared" si="2"/>
        <v>30544</v>
      </c>
      <c r="R13" s="489">
        <v>12571</v>
      </c>
      <c r="S13" s="490">
        <v>1865</v>
      </c>
      <c r="T13" s="490">
        <v>8881</v>
      </c>
      <c r="U13" s="490"/>
      <c r="V13" s="490"/>
      <c r="W13" s="490">
        <v>272</v>
      </c>
      <c r="X13" s="490">
        <v>11</v>
      </c>
      <c r="Y13" s="492">
        <f t="shared" si="0"/>
        <v>23600</v>
      </c>
      <c r="Z13" s="493">
        <f t="shared" si="3"/>
        <v>0.77265584075432159</v>
      </c>
      <c r="AA13" s="1136"/>
      <c r="AB13" s="511"/>
    </row>
    <row r="14" spans="1:28" s="509" customFormat="1" ht="35.1" customHeight="1" x14ac:dyDescent="0.25">
      <c r="A14" s="487" t="s">
        <v>274</v>
      </c>
      <c r="B14" s="488" t="s">
        <v>103</v>
      </c>
      <c r="C14" s="489">
        <v>11640</v>
      </c>
      <c r="D14" s="490">
        <v>2115</v>
      </c>
      <c r="E14" s="490">
        <v>500</v>
      </c>
      <c r="F14" s="490"/>
      <c r="G14" s="490"/>
      <c r="H14" s="490"/>
      <c r="I14" s="491">
        <f t="shared" si="1"/>
        <v>14255</v>
      </c>
      <c r="J14" s="489">
        <v>12202</v>
      </c>
      <c r="K14" s="490">
        <v>2182</v>
      </c>
      <c r="L14" s="490">
        <v>500</v>
      </c>
      <c r="M14" s="490"/>
      <c r="N14" s="490"/>
      <c r="O14" s="490"/>
      <c r="P14" s="490"/>
      <c r="Q14" s="491">
        <f t="shared" si="2"/>
        <v>14884</v>
      </c>
      <c r="R14" s="489">
        <v>12070</v>
      </c>
      <c r="S14" s="490">
        <v>2063</v>
      </c>
      <c r="T14" s="490">
        <v>56</v>
      </c>
      <c r="U14" s="490"/>
      <c r="V14" s="490"/>
      <c r="W14" s="490"/>
      <c r="X14" s="490"/>
      <c r="Y14" s="492">
        <f t="shared" si="0"/>
        <v>14189</v>
      </c>
      <c r="Z14" s="493">
        <f t="shared" si="3"/>
        <v>0.95330556302069336</v>
      </c>
      <c r="AA14" s="1136"/>
      <c r="AB14" s="511"/>
    </row>
    <row r="15" spans="1:28" s="509" customFormat="1" ht="35.1" customHeight="1" x14ac:dyDescent="0.25">
      <c r="A15" s="487" t="s">
        <v>275</v>
      </c>
      <c r="B15" s="488" t="s">
        <v>101</v>
      </c>
      <c r="C15" s="489">
        <v>3255</v>
      </c>
      <c r="D15" s="490">
        <v>600</v>
      </c>
      <c r="E15" s="490"/>
      <c r="F15" s="490"/>
      <c r="G15" s="490"/>
      <c r="H15" s="490"/>
      <c r="I15" s="491">
        <f t="shared" si="1"/>
        <v>3855</v>
      </c>
      <c r="J15" s="489">
        <v>3799</v>
      </c>
      <c r="K15" s="490">
        <v>695</v>
      </c>
      <c r="L15" s="490">
        <v>0</v>
      </c>
      <c r="M15" s="490"/>
      <c r="N15" s="490"/>
      <c r="O15" s="490"/>
      <c r="P15" s="490"/>
      <c r="Q15" s="491">
        <f t="shared" si="2"/>
        <v>4494</v>
      </c>
      <c r="R15" s="489">
        <v>1713</v>
      </c>
      <c r="S15" s="490">
        <v>307</v>
      </c>
      <c r="T15" s="490"/>
      <c r="U15" s="490"/>
      <c r="V15" s="490"/>
      <c r="W15" s="490"/>
      <c r="X15" s="490"/>
      <c r="Y15" s="492">
        <f t="shared" si="0"/>
        <v>2020</v>
      </c>
      <c r="Z15" s="493">
        <f t="shared" si="3"/>
        <v>0.44948820649755228</v>
      </c>
      <c r="AA15" s="1136"/>
      <c r="AB15" s="511"/>
    </row>
    <row r="16" spans="1:28" s="509" customFormat="1" ht="35.1" customHeight="1" x14ac:dyDescent="0.25">
      <c r="A16" s="487" t="s">
        <v>276</v>
      </c>
      <c r="B16" s="488" t="s">
        <v>96</v>
      </c>
      <c r="C16" s="489"/>
      <c r="D16" s="490"/>
      <c r="E16" s="490">
        <v>3500</v>
      </c>
      <c r="F16" s="490"/>
      <c r="G16" s="490"/>
      <c r="H16" s="490"/>
      <c r="I16" s="491">
        <f t="shared" si="1"/>
        <v>3500</v>
      </c>
      <c r="J16" s="489">
        <v>0</v>
      </c>
      <c r="K16" s="490">
        <v>0</v>
      </c>
      <c r="L16" s="490">
        <v>5800</v>
      </c>
      <c r="M16" s="490"/>
      <c r="N16" s="490"/>
      <c r="O16" s="490"/>
      <c r="P16" s="490"/>
      <c r="Q16" s="491">
        <f t="shared" si="2"/>
        <v>5800</v>
      </c>
      <c r="R16" s="489"/>
      <c r="S16" s="490"/>
      <c r="T16" s="490">
        <v>1700</v>
      </c>
      <c r="U16" s="490"/>
      <c r="V16" s="490"/>
      <c r="W16" s="490"/>
      <c r="X16" s="490"/>
      <c r="Y16" s="492">
        <f t="shared" si="0"/>
        <v>1700</v>
      </c>
      <c r="Z16" s="493">
        <f t="shared" si="3"/>
        <v>0.29310344827586204</v>
      </c>
      <c r="AA16" s="1136"/>
      <c r="AB16" s="511"/>
    </row>
    <row r="17" spans="1:28" s="509" customFormat="1" ht="35.1" customHeight="1" x14ac:dyDescent="0.25">
      <c r="A17" s="487" t="s">
        <v>277</v>
      </c>
      <c r="B17" s="488" t="s">
        <v>501</v>
      </c>
      <c r="C17" s="489"/>
      <c r="D17" s="490"/>
      <c r="E17" s="490">
        <v>7500</v>
      </c>
      <c r="F17" s="490"/>
      <c r="G17" s="490"/>
      <c r="H17" s="490"/>
      <c r="I17" s="491">
        <f t="shared" si="1"/>
        <v>7500</v>
      </c>
      <c r="J17" s="489">
        <v>0</v>
      </c>
      <c r="K17" s="490">
        <v>0</v>
      </c>
      <c r="L17" s="490">
        <v>7500</v>
      </c>
      <c r="M17" s="490"/>
      <c r="N17" s="490"/>
      <c r="O17" s="490"/>
      <c r="P17" s="490"/>
      <c r="Q17" s="491">
        <f t="shared" si="2"/>
        <v>7500</v>
      </c>
      <c r="R17" s="489"/>
      <c r="S17" s="490"/>
      <c r="T17" s="490">
        <v>3155</v>
      </c>
      <c r="U17" s="490"/>
      <c r="V17" s="490"/>
      <c r="W17" s="490"/>
      <c r="X17" s="490"/>
      <c r="Y17" s="492">
        <f t="shared" si="0"/>
        <v>3155</v>
      </c>
      <c r="Z17" s="493">
        <f t="shared" si="3"/>
        <v>0.42066666666666669</v>
      </c>
      <c r="AA17" s="1136"/>
      <c r="AB17" s="511"/>
    </row>
    <row r="18" spans="1:28" s="509" customFormat="1" ht="35.1" customHeight="1" x14ac:dyDescent="0.25">
      <c r="A18" s="487" t="s">
        <v>278</v>
      </c>
      <c r="B18" s="488" t="s">
        <v>376</v>
      </c>
      <c r="C18" s="489">
        <v>250</v>
      </c>
      <c r="D18" s="490">
        <v>40</v>
      </c>
      <c r="E18" s="490">
        <v>200</v>
      </c>
      <c r="F18" s="490"/>
      <c r="G18" s="490"/>
      <c r="H18" s="490"/>
      <c r="I18" s="491">
        <f t="shared" si="1"/>
        <v>490</v>
      </c>
      <c r="J18" s="489">
        <v>250</v>
      </c>
      <c r="K18" s="490">
        <v>40</v>
      </c>
      <c r="L18" s="490">
        <v>200</v>
      </c>
      <c r="M18" s="490"/>
      <c r="N18" s="490"/>
      <c r="O18" s="490"/>
      <c r="P18" s="490"/>
      <c r="Q18" s="491">
        <f t="shared" si="2"/>
        <v>490</v>
      </c>
      <c r="R18" s="489">
        <v>216</v>
      </c>
      <c r="S18" s="490"/>
      <c r="T18" s="490"/>
      <c r="U18" s="490"/>
      <c r="V18" s="490"/>
      <c r="W18" s="490"/>
      <c r="X18" s="490"/>
      <c r="Y18" s="492">
        <f>SUM(R18:X18)</f>
        <v>216</v>
      </c>
      <c r="Z18" s="493">
        <f t="shared" si="3"/>
        <v>0.44081632653061226</v>
      </c>
      <c r="AA18" s="1136"/>
      <c r="AB18" s="511"/>
    </row>
    <row r="19" spans="1:28" s="509" customFormat="1" ht="35.1" customHeight="1" x14ac:dyDescent="0.25">
      <c r="A19" s="487" t="s">
        <v>279</v>
      </c>
      <c r="B19" s="488" t="s">
        <v>31</v>
      </c>
      <c r="C19" s="489"/>
      <c r="D19" s="490"/>
      <c r="E19" s="490">
        <v>1200</v>
      </c>
      <c r="F19" s="490"/>
      <c r="G19" s="490"/>
      <c r="H19" s="490"/>
      <c r="I19" s="491">
        <f t="shared" si="1"/>
        <v>1200</v>
      </c>
      <c r="J19" s="489">
        <v>0</v>
      </c>
      <c r="K19" s="490">
        <v>0</v>
      </c>
      <c r="L19" s="490">
        <v>1200</v>
      </c>
      <c r="M19" s="490"/>
      <c r="N19" s="490"/>
      <c r="O19" s="490"/>
      <c r="P19" s="490"/>
      <c r="Q19" s="491">
        <f t="shared" si="2"/>
        <v>1200</v>
      </c>
      <c r="R19" s="489"/>
      <c r="S19" s="490"/>
      <c r="T19" s="490">
        <v>880</v>
      </c>
      <c r="U19" s="490"/>
      <c r="V19" s="490"/>
      <c r="W19" s="490"/>
      <c r="X19" s="490"/>
      <c r="Y19" s="492">
        <f t="shared" si="0"/>
        <v>880</v>
      </c>
      <c r="Z19" s="493">
        <f t="shared" si="3"/>
        <v>0.73333333333333328</v>
      </c>
      <c r="AA19" s="1136"/>
      <c r="AB19" s="511"/>
    </row>
    <row r="20" spans="1:28" s="509" customFormat="1" ht="35.1" customHeight="1" x14ac:dyDescent="0.25">
      <c r="A20" s="487" t="s">
        <v>280</v>
      </c>
      <c r="B20" s="488" t="s">
        <v>41</v>
      </c>
      <c r="C20" s="489"/>
      <c r="D20" s="490"/>
      <c r="E20" s="490">
        <v>2000</v>
      </c>
      <c r="F20" s="490"/>
      <c r="G20" s="490"/>
      <c r="H20" s="490"/>
      <c r="I20" s="491">
        <f t="shared" si="1"/>
        <v>2000</v>
      </c>
      <c r="J20" s="489">
        <v>0</v>
      </c>
      <c r="K20" s="490">
        <v>0</v>
      </c>
      <c r="L20" s="490">
        <v>2000</v>
      </c>
      <c r="M20" s="490"/>
      <c r="N20" s="490"/>
      <c r="O20" s="490"/>
      <c r="P20" s="490"/>
      <c r="Q20" s="491">
        <f t="shared" si="2"/>
        <v>2000</v>
      </c>
      <c r="R20" s="489"/>
      <c r="S20" s="490"/>
      <c r="T20" s="490">
        <v>2000</v>
      </c>
      <c r="U20" s="490"/>
      <c r="V20" s="490"/>
      <c r="W20" s="490"/>
      <c r="X20" s="490"/>
      <c r="Y20" s="492">
        <f t="shared" si="0"/>
        <v>2000</v>
      </c>
      <c r="Z20" s="493">
        <f t="shared" si="3"/>
        <v>1</v>
      </c>
      <c r="AA20" s="1136"/>
      <c r="AB20" s="511"/>
    </row>
    <row r="21" spans="1:28" s="509" customFormat="1" ht="35.1" customHeight="1" x14ac:dyDescent="0.25">
      <c r="A21" s="487" t="s">
        <v>281</v>
      </c>
      <c r="B21" s="494" t="s">
        <v>398</v>
      </c>
      <c r="C21" s="489"/>
      <c r="D21" s="490"/>
      <c r="E21" s="490">
        <v>13000</v>
      </c>
      <c r="F21" s="490"/>
      <c r="G21" s="490"/>
      <c r="H21" s="490"/>
      <c r="I21" s="491">
        <f t="shared" si="1"/>
        <v>13000</v>
      </c>
      <c r="J21" s="489">
        <v>0</v>
      </c>
      <c r="K21" s="490">
        <v>0</v>
      </c>
      <c r="L21" s="490">
        <v>13000</v>
      </c>
      <c r="M21" s="490"/>
      <c r="N21" s="490"/>
      <c r="O21" s="490"/>
      <c r="P21" s="490"/>
      <c r="Q21" s="491">
        <f t="shared" si="2"/>
        <v>13000</v>
      </c>
      <c r="R21" s="489"/>
      <c r="S21" s="490"/>
      <c r="T21" s="490">
        <v>3105</v>
      </c>
      <c r="U21" s="490"/>
      <c r="V21" s="490"/>
      <c r="W21" s="490"/>
      <c r="X21" s="490"/>
      <c r="Y21" s="492">
        <f t="shared" si="0"/>
        <v>3105</v>
      </c>
      <c r="Z21" s="493">
        <f t="shared" si="3"/>
        <v>0.23884615384615385</v>
      </c>
      <c r="AA21" s="1136"/>
      <c r="AB21" s="511"/>
    </row>
    <row r="22" spans="1:28" s="509" customFormat="1" ht="35.1" customHeight="1" x14ac:dyDescent="0.25">
      <c r="A22" s="487" t="s">
        <v>282</v>
      </c>
      <c r="B22" s="495" t="s">
        <v>502</v>
      </c>
      <c r="C22" s="489">
        <v>1000</v>
      </c>
      <c r="D22" s="490">
        <v>158</v>
      </c>
      <c r="E22" s="490">
        <v>2000</v>
      </c>
      <c r="F22" s="490"/>
      <c r="G22" s="490"/>
      <c r="H22" s="490"/>
      <c r="I22" s="491">
        <f t="shared" si="1"/>
        <v>3158</v>
      </c>
      <c r="J22" s="489">
        <v>1000</v>
      </c>
      <c r="K22" s="490">
        <v>158</v>
      </c>
      <c r="L22" s="490">
        <v>2000</v>
      </c>
      <c r="M22" s="490"/>
      <c r="N22" s="490"/>
      <c r="O22" s="490"/>
      <c r="P22" s="490"/>
      <c r="Q22" s="491">
        <f t="shared" si="2"/>
        <v>3158</v>
      </c>
      <c r="R22" s="489"/>
      <c r="S22" s="490"/>
      <c r="T22" s="490">
        <v>0</v>
      </c>
      <c r="U22" s="490"/>
      <c r="V22" s="490"/>
      <c r="W22" s="490"/>
      <c r="X22" s="490"/>
      <c r="Y22" s="492">
        <f t="shared" si="0"/>
        <v>0</v>
      </c>
      <c r="Z22" s="493">
        <f t="shared" si="3"/>
        <v>0</v>
      </c>
      <c r="AA22" s="1136"/>
      <c r="AB22" s="511"/>
    </row>
    <row r="23" spans="1:28" s="509" customFormat="1" ht="35.1" customHeight="1" x14ac:dyDescent="0.25">
      <c r="A23" s="487" t="s">
        <v>283</v>
      </c>
      <c r="B23" s="488" t="s">
        <v>503</v>
      </c>
      <c r="C23" s="489"/>
      <c r="D23" s="490"/>
      <c r="E23" s="490">
        <v>13000</v>
      </c>
      <c r="F23" s="490"/>
      <c r="G23" s="490"/>
      <c r="H23" s="490"/>
      <c r="I23" s="491">
        <f t="shared" si="1"/>
        <v>13000</v>
      </c>
      <c r="J23" s="489">
        <v>0</v>
      </c>
      <c r="K23" s="490">
        <v>0</v>
      </c>
      <c r="L23" s="490">
        <v>13000</v>
      </c>
      <c r="M23" s="490"/>
      <c r="N23" s="490"/>
      <c r="O23" s="490"/>
      <c r="P23" s="490"/>
      <c r="Q23" s="491">
        <f t="shared" si="2"/>
        <v>13000</v>
      </c>
      <c r="R23" s="489"/>
      <c r="S23" s="490"/>
      <c r="T23" s="490">
        <f>18+27+13076+19-2383-7</f>
        <v>10750</v>
      </c>
      <c r="U23" s="490"/>
      <c r="V23" s="490"/>
      <c r="W23" s="490"/>
      <c r="X23" s="490"/>
      <c r="Y23" s="492">
        <f t="shared" si="0"/>
        <v>10750</v>
      </c>
      <c r="Z23" s="493">
        <f t="shared" si="3"/>
        <v>0.82692307692307687</v>
      </c>
      <c r="AA23" s="1136"/>
      <c r="AB23" s="511"/>
    </row>
    <row r="24" spans="1:28" s="509" customFormat="1" ht="35.1" customHeight="1" x14ac:dyDescent="0.25">
      <c r="A24" s="487" t="s">
        <v>284</v>
      </c>
      <c r="B24" s="488" t="s">
        <v>171</v>
      </c>
      <c r="C24" s="489"/>
      <c r="D24" s="490"/>
      <c r="E24" s="490">
        <v>5000</v>
      </c>
      <c r="F24" s="490"/>
      <c r="G24" s="490"/>
      <c r="H24" s="490"/>
      <c r="I24" s="491">
        <f t="shared" si="1"/>
        <v>5000</v>
      </c>
      <c r="J24" s="489">
        <v>0</v>
      </c>
      <c r="K24" s="490">
        <v>0</v>
      </c>
      <c r="L24" s="490">
        <v>4000</v>
      </c>
      <c r="M24" s="490"/>
      <c r="N24" s="490"/>
      <c r="O24" s="490"/>
      <c r="P24" s="490"/>
      <c r="Q24" s="491">
        <f t="shared" si="2"/>
        <v>4000</v>
      </c>
      <c r="R24" s="489"/>
      <c r="S24" s="490"/>
      <c r="T24" s="490">
        <v>2419</v>
      </c>
      <c r="U24" s="490"/>
      <c r="V24" s="490"/>
      <c r="W24" s="490"/>
      <c r="X24" s="490"/>
      <c r="Y24" s="492">
        <f t="shared" si="0"/>
        <v>2419</v>
      </c>
      <c r="Z24" s="493">
        <f t="shared" si="3"/>
        <v>0.60475000000000001</v>
      </c>
      <c r="AA24" s="1136"/>
      <c r="AB24" s="511"/>
    </row>
    <row r="25" spans="1:28" s="509" customFormat="1" ht="35.1" customHeight="1" x14ac:dyDescent="0.25">
      <c r="A25" s="487" t="s">
        <v>290</v>
      </c>
      <c r="B25" s="488" t="s">
        <v>364</v>
      </c>
      <c r="C25" s="489"/>
      <c r="D25" s="490"/>
      <c r="E25" s="490">
        <v>1840</v>
      </c>
      <c r="F25" s="490"/>
      <c r="G25" s="490"/>
      <c r="H25" s="490"/>
      <c r="I25" s="491">
        <f t="shared" si="1"/>
        <v>1840</v>
      </c>
      <c r="J25" s="489">
        <v>0</v>
      </c>
      <c r="K25" s="490">
        <v>0</v>
      </c>
      <c r="L25" s="490">
        <v>1840</v>
      </c>
      <c r="M25" s="490"/>
      <c r="N25" s="490"/>
      <c r="O25" s="490"/>
      <c r="P25" s="490"/>
      <c r="Q25" s="491">
        <f t="shared" si="2"/>
        <v>1840</v>
      </c>
      <c r="R25" s="489"/>
      <c r="S25" s="490"/>
      <c r="T25" s="490">
        <v>1840</v>
      </c>
      <c r="U25" s="490"/>
      <c r="V25" s="490"/>
      <c r="W25" s="490"/>
      <c r="X25" s="490"/>
      <c r="Y25" s="492">
        <f t="shared" si="0"/>
        <v>1840</v>
      </c>
      <c r="Z25" s="493">
        <f t="shared" si="3"/>
        <v>1</v>
      </c>
      <c r="AA25" s="1136"/>
      <c r="AB25" s="511"/>
    </row>
    <row r="26" spans="1:28" s="509" customFormat="1" ht="35.1" customHeight="1" x14ac:dyDescent="0.25">
      <c r="A26" s="487" t="s">
        <v>291</v>
      </c>
      <c r="B26" s="488" t="s">
        <v>374</v>
      </c>
      <c r="C26" s="489">
        <v>8550</v>
      </c>
      <c r="D26" s="490">
        <v>1512</v>
      </c>
      <c r="E26" s="490">
        <v>9008</v>
      </c>
      <c r="F26" s="490"/>
      <c r="G26" s="490"/>
      <c r="H26" s="490"/>
      <c r="I26" s="491">
        <f t="shared" si="1"/>
        <v>19070</v>
      </c>
      <c r="J26" s="489">
        <v>8841</v>
      </c>
      <c r="K26" s="490">
        <v>1563</v>
      </c>
      <c r="L26" s="490">
        <f>10197-49</f>
        <v>10148</v>
      </c>
      <c r="M26" s="490"/>
      <c r="N26" s="490"/>
      <c r="O26" s="490">
        <v>49</v>
      </c>
      <c r="P26" s="490"/>
      <c r="Q26" s="491">
        <f t="shared" si="2"/>
        <v>20601</v>
      </c>
      <c r="R26" s="489">
        <v>7847</v>
      </c>
      <c r="S26" s="490">
        <v>1288</v>
      </c>
      <c r="T26" s="490">
        <v>9754</v>
      </c>
      <c r="U26" s="490"/>
      <c r="V26" s="490"/>
      <c r="W26" s="490">
        <v>49</v>
      </c>
      <c r="X26" s="490"/>
      <c r="Y26" s="492">
        <f t="shared" si="0"/>
        <v>18938</v>
      </c>
      <c r="Z26" s="493">
        <f t="shared" si="3"/>
        <v>0.91927576331246053</v>
      </c>
      <c r="AA26" s="1136"/>
      <c r="AB26" s="511"/>
    </row>
    <row r="27" spans="1:28" s="509" customFormat="1" ht="35.1" customHeight="1" x14ac:dyDescent="0.25">
      <c r="A27" s="496" t="s">
        <v>292</v>
      </c>
      <c r="B27" s="488" t="s">
        <v>377</v>
      </c>
      <c r="C27" s="489"/>
      <c r="D27" s="490"/>
      <c r="E27" s="490">
        <v>600</v>
      </c>
      <c r="F27" s="490"/>
      <c r="G27" s="490"/>
      <c r="H27" s="490"/>
      <c r="I27" s="491">
        <f t="shared" si="1"/>
        <v>600</v>
      </c>
      <c r="J27" s="489">
        <v>0</v>
      </c>
      <c r="K27" s="490">
        <v>0</v>
      </c>
      <c r="L27" s="490">
        <v>600</v>
      </c>
      <c r="M27" s="490"/>
      <c r="N27" s="490"/>
      <c r="O27" s="490"/>
      <c r="P27" s="490"/>
      <c r="Q27" s="491">
        <f>SUM(J27:P27)</f>
        <v>600</v>
      </c>
      <c r="R27" s="489"/>
      <c r="S27" s="490"/>
      <c r="T27" s="490">
        <v>222</v>
      </c>
      <c r="U27" s="490"/>
      <c r="V27" s="490"/>
      <c r="W27" s="490"/>
      <c r="X27" s="490"/>
      <c r="Y27" s="492">
        <f>SUM(R27:X27)</f>
        <v>222</v>
      </c>
      <c r="Z27" s="493">
        <f t="shared" si="3"/>
        <v>0.37</v>
      </c>
      <c r="AA27" s="1136"/>
      <c r="AB27" s="511"/>
    </row>
    <row r="28" spans="1:28" s="509" customFormat="1" ht="35.1" customHeight="1" x14ac:dyDescent="0.25">
      <c r="A28" s="496" t="s">
        <v>293</v>
      </c>
      <c r="B28" s="488" t="s">
        <v>498</v>
      </c>
      <c r="C28" s="489">
        <v>4343</v>
      </c>
      <c r="D28" s="490">
        <v>805</v>
      </c>
      <c r="E28" s="490">
        <v>15372</v>
      </c>
      <c r="F28" s="490"/>
      <c r="G28" s="490"/>
      <c r="H28" s="490"/>
      <c r="I28" s="491">
        <f t="shared" si="1"/>
        <v>20520</v>
      </c>
      <c r="J28" s="489">
        <v>2274</v>
      </c>
      <c r="K28" s="490">
        <v>405</v>
      </c>
      <c r="L28" s="490">
        <f>7598-256</f>
        <v>7342</v>
      </c>
      <c r="M28" s="490"/>
      <c r="N28" s="490"/>
      <c r="O28" s="490">
        <v>256</v>
      </c>
      <c r="P28" s="490"/>
      <c r="Q28" s="491">
        <f t="shared" ref="Q28:Q30" si="4">SUM(J28:P28)</f>
        <v>10277</v>
      </c>
      <c r="R28" s="489">
        <v>1696</v>
      </c>
      <c r="S28" s="490">
        <v>276</v>
      </c>
      <c r="T28" s="490">
        <v>4806</v>
      </c>
      <c r="U28" s="490"/>
      <c r="V28" s="490"/>
      <c r="W28" s="490">
        <v>256</v>
      </c>
      <c r="X28" s="490"/>
      <c r="Y28" s="492">
        <f t="shared" ref="Y28:Y30" si="5">SUM(R28:X28)</f>
        <v>7034</v>
      </c>
      <c r="Z28" s="493">
        <f t="shared" si="3"/>
        <v>0.68444098472316828</v>
      </c>
      <c r="AA28" s="1136"/>
      <c r="AB28" s="511"/>
    </row>
    <row r="29" spans="1:28" s="509" customFormat="1" ht="35.1" customHeight="1" x14ac:dyDescent="0.25">
      <c r="A29" s="542" t="s">
        <v>294</v>
      </c>
      <c r="B29" s="543" t="s">
        <v>499</v>
      </c>
      <c r="C29" s="544">
        <v>8554</v>
      </c>
      <c r="D29" s="545">
        <v>1547</v>
      </c>
      <c r="E29" s="545">
        <v>500</v>
      </c>
      <c r="F29" s="545"/>
      <c r="G29" s="545"/>
      <c r="H29" s="545"/>
      <c r="I29" s="491">
        <f t="shared" si="1"/>
        <v>10601</v>
      </c>
      <c r="J29" s="489">
        <v>8554</v>
      </c>
      <c r="K29" s="490">
        <v>1547</v>
      </c>
      <c r="L29" s="490">
        <v>500</v>
      </c>
      <c r="M29" s="545"/>
      <c r="N29" s="545"/>
      <c r="O29" s="545"/>
      <c r="P29" s="545"/>
      <c r="Q29" s="491">
        <f t="shared" si="4"/>
        <v>10601</v>
      </c>
      <c r="R29" s="544">
        <v>4314</v>
      </c>
      <c r="S29" s="545">
        <v>672</v>
      </c>
      <c r="T29" s="545">
        <v>20</v>
      </c>
      <c r="U29" s="545"/>
      <c r="V29" s="545"/>
      <c r="W29" s="545"/>
      <c r="X29" s="545"/>
      <c r="Y29" s="492">
        <f t="shared" si="5"/>
        <v>5006</v>
      </c>
      <c r="Z29" s="493">
        <f t="shared" si="3"/>
        <v>0.47221960192434675</v>
      </c>
      <c r="AA29" s="1136"/>
      <c r="AB29" s="511"/>
    </row>
    <row r="30" spans="1:28" s="509" customFormat="1" ht="35.1" customHeight="1" x14ac:dyDescent="0.25">
      <c r="A30" s="496" t="s">
        <v>295</v>
      </c>
      <c r="B30" s="488" t="s">
        <v>589</v>
      </c>
      <c r="C30" s="489"/>
      <c r="D30" s="490"/>
      <c r="E30" s="490"/>
      <c r="F30" s="490"/>
      <c r="G30" s="490"/>
      <c r="H30" s="490"/>
      <c r="I30" s="491">
        <f t="shared" si="1"/>
        <v>0</v>
      </c>
      <c r="J30" s="489">
        <f>2443+5471</f>
        <v>7914</v>
      </c>
      <c r="K30" s="490">
        <f>460+1006</f>
        <v>1466</v>
      </c>
      <c r="L30" s="490">
        <v>0</v>
      </c>
      <c r="M30" s="490"/>
      <c r="N30" s="490"/>
      <c r="O30" s="490"/>
      <c r="P30" s="490"/>
      <c r="Q30" s="491">
        <f t="shared" si="4"/>
        <v>9380</v>
      </c>
      <c r="R30" s="489">
        <v>5087</v>
      </c>
      <c r="S30" s="490">
        <v>858</v>
      </c>
      <c r="T30" s="490"/>
      <c r="U30" s="490"/>
      <c r="V30" s="490"/>
      <c r="W30" s="490"/>
      <c r="X30" s="490"/>
      <c r="Y30" s="492">
        <f t="shared" si="5"/>
        <v>5945</v>
      </c>
      <c r="Z30" s="493">
        <f t="shared" si="3"/>
        <v>0.63379530916844351</v>
      </c>
      <c r="AA30" s="1136"/>
      <c r="AB30" s="511"/>
    </row>
    <row r="31" spans="1:28" s="509" customFormat="1" ht="35.1" customHeight="1" thickBot="1" x14ac:dyDescent="0.3">
      <c r="A31" s="496"/>
      <c r="B31" s="488"/>
      <c r="C31" s="489"/>
      <c r="D31" s="490"/>
      <c r="E31" s="490"/>
      <c r="F31" s="490"/>
      <c r="G31" s="490"/>
      <c r="H31" s="490"/>
      <c r="I31" s="491"/>
      <c r="J31" s="489"/>
      <c r="K31" s="490"/>
      <c r="L31" s="490"/>
      <c r="M31" s="490"/>
      <c r="N31" s="490"/>
      <c r="O31" s="490"/>
      <c r="P31" s="490"/>
      <c r="Q31" s="491"/>
      <c r="R31" s="489"/>
      <c r="S31" s="490"/>
      <c r="T31" s="490"/>
      <c r="U31" s="490"/>
      <c r="V31" s="490"/>
      <c r="W31" s="490"/>
      <c r="X31" s="490"/>
      <c r="Y31" s="492"/>
      <c r="Z31" s="497"/>
      <c r="AA31" s="1136"/>
      <c r="AB31" s="511"/>
    </row>
    <row r="32" spans="1:28" s="509" customFormat="1" ht="35.1" customHeight="1" thickBot="1" x14ac:dyDescent="0.3">
      <c r="A32" s="498"/>
      <c r="B32" s="499" t="s">
        <v>160</v>
      </c>
      <c r="C32" s="500">
        <f t="shared" ref="C32:H32" si="6">SUM(C3:C31)</f>
        <v>235367</v>
      </c>
      <c r="D32" s="500">
        <f t="shared" si="6"/>
        <v>32219</v>
      </c>
      <c r="E32" s="500">
        <f t="shared" si="6"/>
        <v>164212</v>
      </c>
      <c r="F32" s="500">
        <f t="shared" si="6"/>
        <v>200</v>
      </c>
      <c r="G32" s="500">
        <f t="shared" si="6"/>
        <v>0</v>
      </c>
      <c r="H32" s="500">
        <f t="shared" si="6"/>
        <v>0</v>
      </c>
      <c r="I32" s="501">
        <f t="shared" ref="I32" si="7">SUM(C32:H32)</f>
        <v>431998</v>
      </c>
      <c r="J32" s="500">
        <f t="shared" ref="J32:P32" si="8">SUM(J3:J31)</f>
        <v>259875</v>
      </c>
      <c r="K32" s="500">
        <f t="shared" si="8"/>
        <v>36126</v>
      </c>
      <c r="L32" s="500">
        <f t="shared" si="8"/>
        <v>155735</v>
      </c>
      <c r="M32" s="500">
        <f t="shared" si="8"/>
        <v>200</v>
      </c>
      <c r="N32" s="500">
        <f t="shared" si="8"/>
        <v>0</v>
      </c>
      <c r="O32" s="500">
        <f t="shared" si="8"/>
        <v>1151</v>
      </c>
      <c r="P32" s="500">
        <f t="shared" si="8"/>
        <v>11</v>
      </c>
      <c r="Q32" s="501">
        <f>SUM(J32:P32)</f>
        <v>453098</v>
      </c>
      <c r="R32" s="502">
        <f t="shared" ref="R32:X32" si="9">SUM(R3:R31)</f>
        <v>184718</v>
      </c>
      <c r="S32" s="500">
        <f t="shared" si="9"/>
        <v>24124</v>
      </c>
      <c r="T32" s="500">
        <f t="shared" si="9"/>
        <v>80008</v>
      </c>
      <c r="U32" s="500">
        <f t="shared" si="9"/>
        <v>0</v>
      </c>
      <c r="V32" s="500">
        <f t="shared" si="9"/>
        <v>0</v>
      </c>
      <c r="W32" s="500">
        <f t="shared" si="9"/>
        <v>1351</v>
      </c>
      <c r="X32" s="500">
        <f t="shared" si="9"/>
        <v>11</v>
      </c>
      <c r="Y32" s="503">
        <f>SUM(R32:X32)</f>
        <v>290212</v>
      </c>
      <c r="Z32" s="504">
        <f>Y32/Q32</f>
        <v>0.64050602739363227</v>
      </c>
      <c r="AA32" s="1136"/>
      <c r="AB32" s="511"/>
    </row>
    <row r="33" spans="25:25" ht="16.5" thickTop="1" x14ac:dyDescent="0.2">
      <c r="Y33" s="79"/>
    </row>
    <row r="34" spans="25:25" x14ac:dyDescent="0.2">
      <c r="Y34" s="79"/>
    </row>
  </sheetData>
  <mergeCells count="4">
    <mergeCell ref="C1:I1"/>
    <mergeCell ref="J1:Q1"/>
    <mergeCell ref="R1:Y1"/>
    <mergeCell ref="Z1:Z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2" orientation="landscape" r:id="rId1"/>
  <headerFooter>
    <oddHeader>&amp;C&amp;"Times New Roman,Félkövér"&amp;16Önkormányzati feladatok&amp;12
&amp;"Times New Roman,Normál"/ezer Ft/&amp;R&amp;"Times New Roman,Normál"&amp;12 8/b. sz.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AB20"/>
  <sheetViews>
    <sheetView zoomScale="85" zoomScaleNormal="85" workbookViewId="0">
      <pane xSplit="2" ySplit="3" topLeftCell="I7" activePane="bottomRight" state="frozen"/>
      <selection activeCell="C26" sqref="C26"/>
      <selection pane="topRight" activeCell="C26" sqref="C26"/>
      <selection pane="bottomLeft" activeCell="C26" sqref="C26"/>
      <selection pane="bottomRight" activeCell="M6" sqref="M6"/>
    </sheetView>
  </sheetViews>
  <sheetFormatPr defaultColWidth="8.85546875" defaultRowHeight="12.75" x14ac:dyDescent="0.2"/>
  <cols>
    <col min="1" max="1" width="7" style="336" customWidth="1"/>
    <col min="2" max="2" width="44.7109375" style="41" customWidth="1"/>
    <col min="3" max="3" width="10" style="41" customWidth="1"/>
    <col min="4" max="4" width="8.28515625" style="41" bestFit="1" customWidth="1"/>
    <col min="5" max="5" width="8.42578125" style="41" bestFit="1" customWidth="1"/>
    <col min="6" max="6" width="7.42578125" style="41" bestFit="1" customWidth="1"/>
    <col min="7" max="7" width="5.140625" style="41" customWidth="1"/>
    <col min="8" max="8" width="7.42578125" style="41" bestFit="1" customWidth="1"/>
    <col min="9" max="10" width="8.85546875" style="41" bestFit="1" customWidth="1"/>
    <col min="11" max="11" width="8.28515625" style="41" bestFit="1" customWidth="1"/>
    <col min="12" max="12" width="8.85546875" style="41" bestFit="1" customWidth="1"/>
    <col min="13" max="13" width="7.7109375" style="41" bestFit="1" customWidth="1"/>
    <col min="14" max="14" width="5.28515625" style="41" customWidth="1"/>
    <col min="15" max="15" width="7.7109375" style="41" bestFit="1" customWidth="1"/>
    <col min="16" max="16" width="8.5703125" style="41" customWidth="1"/>
    <col min="17" max="17" width="8.85546875" style="41" bestFit="1" customWidth="1"/>
    <col min="18" max="18" width="8.85546875" style="207" bestFit="1" customWidth="1"/>
    <col min="19" max="19" width="8.28515625" style="207" bestFit="1" customWidth="1"/>
    <col min="20" max="20" width="8.42578125" style="207" bestFit="1" customWidth="1"/>
    <col min="21" max="21" width="7.85546875" style="207" customWidth="1"/>
    <col min="22" max="22" width="5.7109375" style="207" customWidth="1"/>
    <col min="23" max="25" width="8.5703125" style="207" customWidth="1"/>
    <col min="26" max="26" width="11.85546875" style="41" customWidth="1"/>
    <col min="27" max="16384" width="8.85546875" style="41"/>
  </cols>
  <sheetData>
    <row r="1" spans="1:28" ht="27.75" customHeight="1" thickTop="1" x14ac:dyDescent="0.2">
      <c r="A1" s="721"/>
      <c r="B1" s="319"/>
      <c r="C1" s="1258" t="s">
        <v>565</v>
      </c>
      <c r="D1" s="1259"/>
      <c r="E1" s="1259"/>
      <c r="F1" s="1259"/>
      <c r="G1" s="1259"/>
      <c r="H1" s="1259"/>
      <c r="I1" s="1260"/>
      <c r="J1" s="1258" t="s">
        <v>566</v>
      </c>
      <c r="K1" s="1259"/>
      <c r="L1" s="1259"/>
      <c r="M1" s="1259"/>
      <c r="N1" s="1259"/>
      <c r="O1" s="1259"/>
      <c r="P1" s="1259"/>
      <c r="Q1" s="1260"/>
      <c r="R1" s="1258" t="s">
        <v>606</v>
      </c>
      <c r="S1" s="1261"/>
      <c r="T1" s="1261"/>
      <c r="U1" s="1261"/>
      <c r="V1" s="1261"/>
      <c r="W1" s="1261"/>
      <c r="X1" s="1261"/>
      <c r="Y1" s="1261"/>
      <c r="Z1" s="1262" t="s">
        <v>677</v>
      </c>
    </row>
    <row r="2" spans="1:28" s="723" customFormat="1" ht="125.25" customHeight="1" thickBot="1" x14ac:dyDescent="0.25">
      <c r="A2" s="722" t="s">
        <v>233</v>
      </c>
      <c r="B2" s="320" t="s">
        <v>66</v>
      </c>
      <c r="C2" s="49" t="s">
        <v>77</v>
      </c>
      <c r="D2" s="49" t="s">
        <v>79</v>
      </c>
      <c r="E2" s="49" t="s">
        <v>80</v>
      </c>
      <c r="F2" s="49" t="s">
        <v>81</v>
      </c>
      <c r="G2" s="49" t="s">
        <v>82</v>
      </c>
      <c r="H2" s="49" t="s">
        <v>578</v>
      </c>
      <c r="I2" s="280" t="s">
        <v>63</v>
      </c>
      <c r="J2" s="49" t="s">
        <v>77</v>
      </c>
      <c r="K2" s="49" t="s">
        <v>79</v>
      </c>
      <c r="L2" s="49" t="s">
        <v>80</v>
      </c>
      <c r="M2" s="49" t="s">
        <v>81</v>
      </c>
      <c r="N2" s="49" t="s">
        <v>82</v>
      </c>
      <c r="O2" s="49" t="s">
        <v>78</v>
      </c>
      <c r="P2" s="49" t="s">
        <v>436</v>
      </c>
      <c r="Q2" s="280" t="s">
        <v>63</v>
      </c>
      <c r="R2" s="101" t="s">
        <v>77</v>
      </c>
      <c r="S2" s="49" t="s">
        <v>79</v>
      </c>
      <c r="T2" s="49" t="s">
        <v>80</v>
      </c>
      <c r="U2" s="43" t="s">
        <v>223</v>
      </c>
      <c r="V2" s="49" t="s">
        <v>82</v>
      </c>
      <c r="W2" s="49" t="s">
        <v>78</v>
      </c>
      <c r="X2" s="49" t="s">
        <v>436</v>
      </c>
      <c r="Y2" s="49" t="s">
        <v>63</v>
      </c>
      <c r="Z2" s="1263"/>
    </row>
    <row r="3" spans="1:28" s="509" customFormat="1" ht="35.1" customHeight="1" thickTop="1" x14ac:dyDescent="0.25">
      <c r="A3" s="482"/>
      <c r="B3" s="505" t="s">
        <v>158</v>
      </c>
      <c r="C3" s="506"/>
      <c r="D3" s="506"/>
      <c r="E3" s="506"/>
      <c r="F3" s="506"/>
      <c r="G3" s="506"/>
      <c r="H3" s="506"/>
      <c r="I3" s="507"/>
      <c r="J3" s="506"/>
      <c r="K3" s="506"/>
      <c r="L3" s="506"/>
      <c r="M3" s="506"/>
      <c r="N3" s="506"/>
      <c r="O3" s="506"/>
      <c r="P3" s="506"/>
      <c r="Q3" s="507"/>
      <c r="R3" s="506"/>
      <c r="S3" s="506"/>
      <c r="T3" s="506"/>
      <c r="U3" s="506"/>
      <c r="V3" s="506"/>
      <c r="W3" s="506"/>
      <c r="X3" s="506"/>
      <c r="Y3" s="507"/>
      <c r="Z3" s="508"/>
    </row>
    <row r="4" spans="1:28" s="509" customFormat="1" ht="35.1" customHeight="1" x14ac:dyDescent="0.25">
      <c r="A4" s="487" t="s">
        <v>260</v>
      </c>
      <c r="B4" s="488" t="s">
        <v>84</v>
      </c>
      <c r="C4" s="489">
        <v>12746</v>
      </c>
      <c r="D4" s="490">
        <v>2290</v>
      </c>
      <c r="E4" s="490">
        <v>705</v>
      </c>
      <c r="F4" s="490"/>
      <c r="G4" s="490"/>
      <c r="H4" s="490"/>
      <c r="I4" s="491">
        <f>SUM(C4:H4)</f>
        <v>15741</v>
      </c>
      <c r="J4" s="489">
        <v>12746</v>
      </c>
      <c r="K4" s="490">
        <v>2290</v>
      </c>
      <c r="L4" s="490">
        <v>709</v>
      </c>
      <c r="M4" s="490"/>
      <c r="N4" s="490"/>
      <c r="O4" s="490"/>
      <c r="P4" s="490"/>
      <c r="Q4" s="491">
        <f>SUM(J4:P4)</f>
        <v>15745</v>
      </c>
      <c r="R4" s="489">
        <v>11827</v>
      </c>
      <c r="S4" s="490">
        <v>2020</v>
      </c>
      <c r="T4" s="490">
        <v>236</v>
      </c>
      <c r="U4" s="490"/>
      <c r="V4" s="490"/>
      <c r="W4" s="490"/>
      <c r="X4" s="490"/>
      <c r="Y4" s="492">
        <f>SUM(R4:X4)</f>
        <v>14083</v>
      </c>
      <c r="Z4" s="493">
        <f>Y4/Q4</f>
        <v>0.89444268021594153</v>
      </c>
      <c r="AB4" s="511"/>
    </row>
    <row r="5" spans="1:28" s="509" customFormat="1" ht="35.1" customHeight="1" x14ac:dyDescent="0.25">
      <c r="A5" s="487" t="s">
        <v>261</v>
      </c>
      <c r="B5" s="488" t="s">
        <v>86</v>
      </c>
      <c r="C5" s="489">
        <v>2496</v>
      </c>
      <c r="D5" s="490">
        <v>465</v>
      </c>
      <c r="E5" s="490">
        <v>2500</v>
      </c>
      <c r="F5" s="490"/>
      <c r="G5" s="490"/>
      <c r="H5" s="490"/>
      <c r="I5" s="491">
        <f>SUM(C5:H5)</f>
        <v>5461</v>
      </c>
      <c r="J5" s="489">
        <f>2555+47+21+10</f>
        <v>2633</v>
      </c>
      <c r="K5" s="490">
        <f>475+8+3+2</f>
        <v>488</v>
      </c>
      <c r="L5" s="490">
        <v>2833</v>
      </c>
      <c r="M5" s="490"/>
      <c r="N5" s="490"/>
      <c r="O5" s="490"/>
      <c r="P5" s="490"/>
      <c r="Q5" s="491">
        <f>SUM(J5:P5)</f>
        <v>5954</v>
      </c>
      <c r="R5" s="489">
        <v>2840</v>
      </c>
      <c r="S5" s="490">
        <v>500</v>
      </c>
      <c r="T5" s="490">
        <v>2097</v>
      </c>
      <c r="U5" s="490"/>
      <c r="V5" s="490"/>
      <c r="W5" s="490"/>
      <c r="X5" s="490"/>
      <c r="Y5" s="492">
        <f t="shared" ref="Y5:Y16" si="0">SUM(R5:X5)</f>
        <v>5437</v>
      </c>
      <c r="Z5" s="493">
        <f t="shared" ref="Z5:Z16" si="1">Y5/Q5</f>
        <v>0.91316761840779304</v>
      </c>
      <c r="AB5" s="511"/>
    </row>
    <row r="6" spans="1:28" s="509" customFormat="1" ht="35.1" customHeight="1" x14ac:dyDescent="0.25">
      <c r="A6" s="487" t="s">
        <v>262</v>
      </c>
      <c r="B6" s="488" t="s">
        <v>70</v>
      </c>
      <c r="C6" s="489">
        <f>'PH.Ig ki.'!B15</f>
        <v>268388</v>
      </c>
      <c r="D6" s="490">
        <f>'PH.Ig ki.'!C15</f>
        <v>52515</v>
      </c>
      <c r="E6" s="490">
        <f>'PH.Ig ki.'!D15</f>
        <v>54350</v>
      </c>
      <c r="F6" s="490">
        <f>'PH.Ig ki.'!E15</f>
        <v>0</v>
      </c>
      <c r="G6" s="490">
        <f>'PH.Ig ki.'!F15</f>
        <v>0</v>
      </c>
      <c r="H6" s="490">
        <f>'PH.Ig ki.'!G15</f>
        <v>0</v>
      </c>
      <c r="I6" s="491">
        <f t="shared" ref="I6:I18" si="2">SUM(C6:H6)</f>
        <v>375253</v>
      </c>
      <c r="J6" s="489">
        <f>'PH.Ig ki.'!J15</f>
        <v>317451</v>
      </c>
      <c r="K6" s="490">
        <f>'PH.Ig ki.'!K15</f>
        <v>61051</v>
      </c>
      <c r="L6" s="490">
        <f>'PH.Ig ki.'!L15</f>
        <v>64588</v>
      </c>
      <c r="M6" s="490">
        <f>'PH.Ig ki.'!M15</f>
        <v>48124</v>
      </c>
      <c r="N6" s="490">
        <f>'PH.Ig ki.'!N15</f>
        <v>0</v>
      </c>
      <c r="O6" s="490">
        <f>'PH.Ig ki.'!O15</f>
        <v>13203</v>
      </c>
      <c r="P6" s="490">
        <f>'PH.Ig ki.'!P15</f>
        <v>34122</v>
      </c>
      <c r="Q6" s="491">
        <f t="shared" ref="Q6:Q16" si="3">SUM(J6:P6)</f>
        <v>538539</v>
      </c>
      <c r="R6" s="489">
        <f>'PH.Ig ki.'!R15</f>
        <v>283659</v>
      </c>
      <c r="S6" s="490">
        <f>'PH.Ig ki.'!S15</f>
        <v>52437</v>
      </c>
      <c r="T6" s="490">
        <f>'PH.Ig ki.'!T15</f>
        <v>37180</v>
      </c>
      <c r="U6" s="490">
        <f>'PH.Ig ki.'!U15</f>
        <v>40668</v>
      </c>
      <c r="V6" s="490">
        <f>'PH.Ig ki.'!V15</f>
        <v>0</v>
      </c>
      <c r="W6" s="490">
        <f>'PH.Ig ki.'!W15</f>
        <v>1971</v>
      </c>
      <c r="X6" s="490">
        <f>'PH.Ig ki.'!X15</f>
        <v>1728</v>
      </c>
      <c r="Y6" s="492">
        <f t="shared" si="0"/>
        <v>417643</v>
      </c>
      <c r="Z6" s="493">
        <f t="shared" si="1"/>
        <v>0.77551115146721039</v>
      </c>
      <c r="AB6" s="511"/>
    </row>
    <row r="7" spans="1:28" s="509" customFormat="1" ht="35.1" customHeight="1" x14ac:dyDescent="0.25">
      <c r="A7" s="487" t="s">
        <v>263</v>
      </c>
      <c r="B7" s="488" t="s">
        <v>12</v>
      </c>
      <c r="C7" s="489">
        <v>30</v>
      </c>
      <c r="D7" s="490"/>
      <c r="E7" s="490">
        <v>5000</v>
      </c>
      <c r="F7" s="490"/>
      <c r="G7" s="490"/>
      <c r="H7" s="490"/>
      <c r="I7" s="491">
        <f>SUM(C7:H7)</f>
        <v>5030</v>
      </c>
      <c r="J7" s="489">
        <v>30</v>
      </c>
      <c r="K7" s="490">
        <v>0</v>
      </c>
      <c r="L7" s="490">
        <v>5280</v>
      </c>
      <c r="M7" s="490"/>
      <c r="N7" s="490"/>
      <c r="O7" s="490"/>
      <c r="P7" s="490"/>
      <c r="Q7" s="491">
        <f t="shared" si="3"/>
        <v>5310</v>
      </c>
      <c r="R7" s="489"/>
      <c r="S7" s="490"/>
      <c r="T7" s="490">
        <v>4050</v>
      </c>
      <c r="U7" s="490"/>
      <c r="V7" s="490"/>
      <c r="W7" s="490"/>
      <c r="X7" s="490"/>
      <c r="Y7" s="492">
        <f t="shared" si="0"/>
        <v>4050</v>
      </c>
      <c r="Z7" s="493">
        <f t="shared" si="1"/>
        <v>0.76271186440677963</v>
      </c>
      <c r="AB7" s="511"/>
    </row>
    <row r="8" spans="1:28" s="509" customFormat="1" ht="35.1" customHeight="1" x14ac:dyDescent="0.25">
      <c r="A8" s="487" t="s">
        <v>264</v>
      </c>
      <c r="B8" s="488" t="s">
        <v>109</v>
      </c>
      <c r="C8" s="489">
        <v>12564</v>
      </c>
      <c r="D8" s="490">
        <v>2271</v>
      </c>
      <c r="E8" s="490">
        <v>300</v>
      </c>
      <c r="F8" s="490"/>
      <c r="G8" s="490"/>
      <c r="H8" s="490"/>
      <c r="I8" s="491">
        <f t="shared" ref="I8:I9" si="4">SUM(C8:H8)</f>
        <v>15135</v>
      </c>
      <c r="J8" s="489">
        <f>5420+9</f>
        <v>5429</v>
      </c>
      <c r="K8" s="490">
        <f>981+2</f>
        <v>983</v>
      </c>
      <c r="L8" s="490">
        <v>10</v>
      </c>
      <c r="M8" s="490"/>
      <c r="N8" s="490"/>
      <c r="O8" s="490"/>
      <c r="P8" s="490"/>
      <c r="Q8" s="491">
        <f t="shared" si="3"/>
        <v>6422</v>
      </c>
      <c r="R8" s="489">
        <v>5697</v>
      </c>
      <c r="S8" s="490">
        <v>1003</v>
      </c>
      <c r="T8" s="490">
        <v>1</v>
      </c>
      <c r="U8" s="490"/>
      <c r="V8" s="490"/>
      <c r="W8" s="490"/>
      <c r="X8" s="490"/>
      <c r="Y8" s="492">
        <f t="shared" si="0"/>
        <v>6701</v>
      </c>
      <c r="Z8" s="493">
        <f t="shared" si="1"/>
        <v>1.043444409841171</v>
      </c>
      <c r="AB8" s="511"/>
    </row>
    <row r="9" spans="1:28" s="509" customFormat="1" ht="35.1" customHeight="1" x14ac:dyDescent="0.25">
      <c r="A9" s="487" t="s">
        <v>265</v>
      </c>
      <c r="B9" s="488" t="s">
        <v>87</v>
      </c>
      <c r="C9" s="489">
        <v>6916</v>
      </c>
      <c r="D9" s="490">
        <v>1247</v>
      </c>
      <c r="E9" s="490">
        <v>1683</v>
      </c>
      <c r="F9" s="490"/>
      <c r="G9" s="490"/>
      <c r="H9" s="490"/>
      <c r="I9" s="491">
        <f t="shared" si="4"/>
        <v>9846</v>
      </c>
      <c r="J9" s="489">
        <v>6916</v>
      </c>
      <c r="K9" s="490">
        <v>1247</v>
      </c>
      <c r="L9" s="490">
        <f>1383-318</f>
        <v>1065</v>
      </c>
      <c r="M9" s="490"/>
      <c r="N9" s="490"/>
      <c r="O9" s="490"/>
      <c r="P9" s="490">
        <v>318</v>
      </c>
      <c r="Q9" s="491">
        <f t="shared" si="3"/>
        <v>9546</v>
      </c>
      <c r="R9" s="489">
        <v>6424</v>
      </c>
      <c r="S9" s="490">
        <v>1072</v>
      </c>
      <c r="T9" s="490">
        <v>718</v>
      </c>
      <c r="U9" s="490"/>
      <c r="V9" s="490"/>
      <c r="W9" s="490"/>
      <c r="X9" s="490"/>
      <c r="Y9" s="492">
        <f t="shared" si="0"/>
        <v>8214</v>
      </c>
      <c r="Z9" s="493">
        <f t="shared" si="1"/>
        <v>0.86046511627906974</v>
      </c>
      <c r="AB9" s="511"/>
    </row>
    <row r="10" spans="1:28" s="509" customFormat="1" ht="35.1" customHeight="1" x14ac:dyDescent="0.25">
      <c r="A10" s="487" t="s">
        <v>266</v>
      </c>
      <c r="B10" s="488" t="s">
        <v>11</v>
      </c>
      <c r="C10" s="490">
        <f>'PH.Ig ki.'!B25</f>
        <v>2356</v>
      </c>
      <c r="D10" s="490">
        <f>'PH.Ig ki.'!C25</f>
        <v>436</v>
      </c>
      <c r="E10" s="490">
        <f>'PH.Ig ki.'!D25</f>
        <v>7350</v>
      </c>
      <c r="F10" s="490">
        <f>'PH.Ig ki.'!E25</f>
        <v>0</v>
      </c>
      <c r="G10" s="490">
        <f>'PH.Ig ki.'!F25</f>
        <v>0</v>
      </c>
      <c r="H10" s="490">
        <f>'PH.Ig ki.'!H25+'PH.Ig ki.'!G25</f>
        <v>1400</v>
      </c>
      <c r="I10" s="491">
        <f t="shared" si="2"/>
        <v>11542</v>
      </c>
      <c r="J10" s="490">
        <f>'PH.Ig ki.'!J25</f>
        <v>2488</v>
      </c>
      <c r="K10" s="490">
        <f>'PH.Ig ki.'!K25</f>
        <v>459</v>
      </c>
      <c r="L10" s="490">
        <f>'PH.Ig ki.'!L25</f>
        <v>7726</v>
      </c>
      <c r="M10" s="490">
        <f>'PH.Ig ki.'!M25</f>
        <v>0</v>
      </c>
      <c r="N10" s="490">
        <f>'PH.Ig ki.'!N25</f>
        <v>0</v>
      </c>
      <c r="O10" s="490">
        <f>'PH.Ig ki.'!O25</f>
        <v>400</v>
      </c>
      <c r="P10" s="490">
        <f>'PH.Ig ki.'!P25</f>
        <v>1005</v>
      </c>
      <c r="Q10" s="491">
        <f t="shared" si="3"/>
        <v>12078</v>
      </c>
      <c r="R10" s="489">
        <f>'PH.Ig ki.'!R25</f>
        <v>2654</v>
      </c>
      <c r="S10" s="490">
        <f>'PH.Ig ki.'!S25</f>
        <v>429</v>
      </c>
      <c r="T10" s="490">
        <f>'PH.Ig ki.'!T25</f>
        <v>5319</v>
      </c>
      <c r="U10" s="490">
        <f>'PH.Ig ki.'!U25</f>
        <v>0</v>
      </c>
      <c r="V10" s="490">
        <f>'PH.Ig ki.'!V25</f>
        <v>0</v>
      </c>
      <c r="W10" s="490">
        <f>'PH.Ig ki.'!W25</f>
        <v>188</v>
      </c>
      <c r="X10" s="490">
        <f>'PH.Ig ki.'!X25</f>
        <v>205</v>
      </c>
      <c r="Y10" s="492">
        <f t="shared" si="0"/>
        <v>8795</v>
      </c>
      <c r="Z10" s="493">
        <f t="shared" si="1"/>
        <v>0.72818347408511341</v>
      </c>
      <c r="AB10" s="511"/>
    </row>
    <row r="11" spans="1:28" s="509" customFormat="1" ht="35.1" customHeight="1" x14ac:dyDescent="0.25">
      <c r="A11" s="487" t="s">
        <v>285</v>
      </c>
      <c r="B11" s="488" t="s">
        <v>107</v>
      </c>
      <c r="C11" s="489">
        <v>2496</v>
      </c>
      <c r="D11" s="490">
        <v>464</v>
      </c>
      <c r="E11" s="490">
        <v>250</v>
      </c>
      <c r="F11" s="490"/>
      <c r="G11" s="490"/>
      <c r="H11" s="490"/>
      <c r="I11" s="491">
        <f>SUM(C11:H11)</f>
        <v>3210</v>
      </c>
      <c r="J11" s="489">
        <f>2555+47+21+11</f>
        <v>2634</v>
      </c>
      <c r="K11" s="490">
        <v>464</v>
      </c>
      <c r="L11" s="490">
        <v>250</v>
      </c>
      <c r="M11" s="490"/>
      <c r="N11" s="490"/>
      <c r="O11" s="490"/>
      <c r="P11" s="490"/>
      <c r="Q11" s="491">
        <f t="shared" si="3"/>
        <v>3348</v>
      </c>
      <c r="R11" s="489">
        <v>2850</v>
      </c>
      <c r="S11" s="490">
        <v>59</v>
      </c>
      <c r="T11" s="490">
        <v>7</v>
      </c>
      <c r="U11" s="490"/>
      <c r="V11" s="490"/>
      <c r="W11" s="490"/>
      <c r="X11" s="490"/>
      <c r="Y11" s="492">
        <f t="shared" si="0"/>
        <v>2916</v>
      </c>
      <c r="Z11" s="493">
        <f t="shared" si="1"/>
        <v>0.87096774193548387</v>
      </c>
      <c r="AB11" s="511"/>
    </row>
    <row r="12" spans="1:28" s="509" customFormat="1" ht="35.1" customHeight="1" x14ac:dyDescent="0.25">
      <c r="A12" s="487" t="s">
        <v>286</v>
      </c>
      <c r="B12" s="488" t="s">
        <v>465</v>
      </c>
      <c r="C12" s="489">
        <v>300</v>
      </c>
      <c r="D12" s="490">
        <v>57</v>
      </c>
      <c r="E12" s="490">
        <v>163</v>
      </c>
      <c r="F12" s="490"/>
      <c r="G12" s="490"/>
      <c r="H12" s="490"/>
      <c r="I12" s="491">
        <f t="shared" ref="I12:I15" si="5">SUM(C12:H12)</f>
        <v>520</v>
      </c>
      <c r="J12" s="489">
        <v>304</v>
      </c>
      <c r="K12" s="490">
        <v>57</v>
      </c>
      <c r="L12" s="490">
        <v>159</v>
      </c>
      <c r="M12" s="490"/>
      <c r="N12" s="490"/>
      <c r="O12" s="490"/>
      <c r="P12" s="490"/>
      <c r="Q12" s="491">
        <f t="shared" si="3"/>
        <v>520</v>
      </c>
      <c r="R12" s="489">
        <v>304</v>
      </c>
      <c r="S12" s="490">
        <v>54</v>
      </c>
      <c r="T12" s="490">
        <v>153</v>
      </c>
      <c r="U12" s="490"/>
      <c r="V12" s="490"/>
      <c r="W12" s="490"/>
      <c r="X12" s="490"/>
      <c r="Y12" s="492">
        <f t="shared" si="0"/>
        <v>511</v>
      </c>
      <c r="Z12" s="493">
        <f t="shared" si="1"/>
        <v>0.98269230769230764</v>
      </c>
      <c r="AB12" s="511"/>
    </row>
    <row r="13" spans="1:28" s="509" customFormat="1" ht="35.1" customHeight="1" x14ac:dyDescent="0.25">
      <c r="A13" s="487" t="s">
        <v>287</v>
      </c>
      <c r="B13" s="488" t="s">
        <v>193</v>
      </c>
      <c r="C13" s="489">
        <v>2225</v>
      </c>
      <c r="D13" s="490">
        <v>358</v>
      </c>
      <c r="E13" s="490">
        <v>2680</v>
      </c>
      <c r="F13" s="490"/>
      <c r="G13" s="490"/>
      <c r="H13" s="490"/>
      <c r="I13" s="491">
        <f t="shared" si="5"/>
        <v>5263</v>
      </c>
      <c r="J13" s="489">
        <f>6267+1715</f>
        <v>7982</v>
      </c>
      <c r="K13" s="490">
        <f>1065+266</f>
        <v>1331</v>
      </c>
      <c r="L13" s="490">
        <v>2809</v>
      </c>
      <c r="M13" s="490"/>
      <c r="N13" s="490"/>
      <c r="O13" s="490"/>
      <c r="P13" s="490"/>
      <c r="Q13" s="491">
        <f t="shared" si="3"/>
        <v>12122</v>
      </c>
      <c r="R13" s="489">
        <v>1306</v>
      </c>
      <c r="S13" s="490">
        <v>194</v>
      </c>
      <c r="T13" s="490">
        <v>2268</v>
      </c>
      <c r="U13" s="490"/>
      <c r="V13" s="490"/>
      <c r="W13" s="490"/>
      <c r="X13" s="490"/>
      <c r="Y13" s="492">
        <f t="shared" si="0"/>
        <v>3768</v>
      </c>
      <c r="Z13" s="493">
        <f t="shared" si="1"/>
        <v>0.31083979541329815</v>
      </c>
      <c r="AB13" s="511"/>
    </row>
    <row r="14" spans="1:28" s="509" customFormat="1" ht="35.1" customHeight="1" x14ac:dyDescent="0.25">
      <c r="A14" s="487" t="s">
        <v>288</v>
      </c>
      <c r="B14" s="488" t="s">
        <v>13</v>
      </c>
      <c r="C14" s="489"/>
      <c r="D14" s="490"/>
      <c r="E14" s="490">
        <v>5500</v>
      </c>
      <c r="F14" s="490"/>
      <c r="G14" s="490"/>
      <c r="H14" s="490">
        <v>2000</v>
      </c>
      <c r="I14" s="491">
        <f t="shared" si="5"/>
        <v>7500</v>
      </c>
      <c r="J14" s="489">
        <v>0</v>
      </c>
      <c r="K14" s="490">
        <v>0</v>
      </c>
      <c r="L14" s="490">
        <f>5906-2516</f>
        <v>3390</v>
      </c>
      <c r="M14" s="490"/>
      <c r="N14" s="490"/>
      <c r="O14" s="490">
        <f>2000+2516+2900</f>
        <v>7416</v>
      </c>
      <c r="P14" s="490"/>
      <c r="Q14" s="491">
        <f t="shared" si="3"/>
        <v>10806</v>
      </c>
      <c r="R14" s="489"/>
      <c r="S14" s="490"/>
      <c r="T14" s="490">
        <f>34+2123+111+27+602</f>
        <v>2897</v>
      </c>
      <c r="U14" s="490"/>
      <c r="V14" s="490"/>
      <c r="W14" s="490">
        <f>5763+44+1568</f>
        <v>7375</v>
      </c>
      <c r="X14" s="490"/>
      <c r="Y14" s="492">
        <f t="shared" si="0"/>
        <v>10272</v>
      </c>
      <c r="Z14" s="493">
        <f t="shared" si="1"/>
        <v>0.95058300943920049</v>
      </c>
      <c r="AB14" s="511"/>
    </row>
    <row r="15" spans="1:28" s="509" customFormat="1" ht="35.1" customHeight="1" x14ac:dyDescent="0.25">
      <c r="A15" s="487" t="s">
        <v>289</v>
      </c>
      <c r="B15" s="494" t="s">
        <v>125</v>
      </c>
      <c r="C15" s="489"/>
      <c r="D15" s="490"/>
      <c r="E15" s="510">
        <v>10000</v>
      </c>
      <c r="F15" s="490"/>
      <c r="G15" s="490"/>
      <c r="H15" s="490">
        <v>3000</v>
      </c>
      <c r="I15" s="491">
        <f t="shared" si="5"/>
        <v>13000</v>
      </c>
      <c r="J15" s="489">
        <v>0</v>
      </c>
      <c r="K15" s="490">
        <v>0</v>
      </c>
      <c r="L15" s="490">
        <f>10000-712</f>
        <v>9288</v>
      </c>
      <c r="M15" s="490"/>
      <c r="N15" s="490"/>
      <c r="O15" s="490">
        <f>9243+712-2900</f>
        <v>7055</v>
      </c>
      <c r="P15" s="490"/>
      <c r="Q15" s="491">
        <f t="shared" si="3"/>
        <v>16343</v>
      </c>
      <c r="R15" s="489"/>
      <c r="S15" s="490"/>
      <c r="T15" s="510">
        <f>5399+1458</f>
        <v>6857</v>
      </c>
      <c r="U15" s="490"/>
      <c r="V15" s="490"/>
      <c r="W15" s="490">
        <f>5543+1497</f>
        <v>7040</v>
      </c>
      <c r="X15" s="490"/>
      <c r="Y15" s="492">
        <f t="shared" si="0"/>
        <v>13897</v>
      </c>
      <c r="Z15" s="493">
        <f t="shared" si="1"/>
        <v>0.85033347610597809</v>
      </c>
      <c r="AA15" s="511"/>
      <c r="AB15" s="511"/>
    </row>
    <row r="16" spans="1:28" s="509" customFormat="1" ht="35.1" customHeight="1" x14ac:dyDescent="0.25">
      <c r="A16" s="496" t="s">
        <v>479</v>
      </c>
      <c r="B16" s="523" t="s">
        <v>605</v>
      </c>
      <c r="C16" s="489"/>
      <c r="D16" s="490"/>
      <c r="E16" s="490"/>
      <c r="F16" s="490"/>
      <c r="G16" s="490"/>
      <c r="H16" s="490"/>
      <c r="I16" s="491"/>
      <c r="J16" s="489">
        <f>569+861</f>
        <v>1430</v>
      </c>
      <c r="K16" s="490">
        <f>101+117</f>
        <v>218</v>
      </c>
      <c r="L16" s="490">
        <f>90+86</f>
        <v>176</v>
      </c>
      <c r="M16" s="490"/>
      <c r="N16" s="490"/>
      <c r="O16" s="490"/>
      <c r="P16" s="490"/>
      <c r="Q16" s="491">
        <f t="shared" si="3"/>
        <v>1824</v>
      </c>
      <c r="R16" s="489">
        <f>569+861</f>
        <v>1430</v>
      </c>
      <c r="S16" s="490">
        <f>101+117</f>
        <v>218</v>
      </c>
      <c r="T16" s="490">
        <f>90+86</f>
        <v>176</v>
      </c>
      <c r="U16" s="490"/>
      <c r="V16" s="490"/>
      <c r="W16" s="490"/>
      <c r="X16" s="490"/>
      <c r="Y16" s="492">
        <f t="shared" si="0"/>
        <v>1824</v>
      </c>
      <c r="Z16" s="493">
        <f t="shared" si="1"/>
        <v>1</v>
      </c>
      <c r="AB16" s="511"/>
    </row>
    <row r="17" spans="1:28" s="509" customFormat="1" ht="35.1" customHeight="1" thickBot="1" x14ac:dyDescent="0.3">
      <c r="A17" s="496" t="s">
        <v>480</v>
      </c>
      <c r="B17" s="488" t="s">
        <v>430</v>
      </c>
      <c r="C17" s="489"/>
      <c r="D17" s="490"/>
      <c r="E17" s="490"/>
      <c r="F17" s="490"/>
      <c r="G17" s="490"/>
      <c r="H17" s="490"/>
      <c r="I17" s="491"/>
      <c r="J17" s="489">
        <v>1273</v>
      </c>
      <c r="K17" s="490">
        <v>223</v>
      </c>
      <c r="L17" s="490"/>
      <c r="M17" s="490"/>
      <c r="N17" s="490"/>
      <c r="O17" s="490"/>
      <c r="P17" s="490"/>
      <c r="Q17" s="491">
        <f>SUM(J17:P17)</f>
        <v>1496</v>
      </c>
      <c r="R17" s="489"/>
      <c r="S17" s="490"/>
      <c r="T17" s="490"/>
      <c r="U17" s="490"/>
      <c r="V17" s="490"/>
      <c r="W17" s="490"/>
      <c r="X17" s="490"/>
      <c r="Y17" s="492">
        <f>SUM(R17:X17)</f>
        <v>0</v>
      </c>
      <c r="Z17" s="652">
        <f>Y17/Q17</f>
        <v>0</v>
      </c>
      <c r="AB17" s="511"/>
    </row>
    <row r="18" spans="1:28" s="515" customFormat="1" ht="35.1" customHeight="1" thickBot="1" x14ac:dyDescent="0.3">
      <c r="A18" s="498"/>
      <c r="B18" s="499" t="s">
        <v>159</v>
      </c>
      <c r="C18" s="500">
        <f t="shared" ref="C18:H18" si="6">SUM(C4:C17)</f>
        <v>310517</v>
      </c>
      <c r="D18" s="500">
        <f t="shared" si="6"/>
        <v>60103</v>
      </c>
      <c r="E18" s="500">
        <f t="shared" si="6"/>
        <v>90481</v>
      </c>
      <c r="F18" s="500">
        <f t="shared" si="6"/>
        <v>0</v>
      </c>
      <c r="G18" s="500">
        <f t="shared" si="6"/>
        <v>0</v>
      </c>
      <c r="H18" s="500">
        <f t="shared" si="6"/>
        <v>6400</v>
      </c>
      <c r="I18" s="501">
        <f t="shared" si="2"/>
        <v>467501</v>
      </c>
      <c r="J18" s="512">
        <f t="shared" ref="J18:P18" si="7">SUM(J4:J17)</f>
        <v>361316</v>
      </c>
      <c r="K18" s="513">
        <f t="shared" si="7"/>
        <v>68811</v>
      </c>
      <c r="L18" s="500">
        <f t="shared" si="7"/>
        <v>98283</v>
      </c>
      <c r="M18" s="500">
        <f t="shared" si="7"/>
        <v>48124</v>
      </c>
      <c r="N18" s="500">
        <f t="shared" si="7"/>
        <v>0</v>
      </c>
      <c r="O18" s="500">
        <f t="shared" si="7"/>
        <v>28074</v>
      </c>
      <c r="P18" s="500">
        <f t="shared" si="7"/>
        <v>35445</v>
      </c>
      <c r="Q18" s="501">
        <f>SUM(J18:P18)</f>
        <v>640053</v>
      </c>
      <c r="R18" s="502">
        <f t="shared" ref="R18:X18" si="8">SUM(R4:R17)</f>
        <v>318991</v>
      </c>
      <c r="S18" s="500">
        <f t="shared" si="8"/>
        <v>57986</v>
      </c>
      <c r="T18" s="500">
        <f t="shared" si="8"/>
        <v>61959</v>
      </c>
      <c r="U18" s="500">
        <f t="shared" si="8"/>
        <v>40668</v>
      </c>
      <c r="V18" s="500">
        <f t="shared" si="8"/>
        <v>0</v>
      </c>
      <c r="W18" s="503">
        <f t="shared" si="8"/>
        <v>16574</v>
      </c>
      <c r="X18" s="503">
        <f t="shared" si="8"/>
        <v>1933</v>
      </c>
      <c r="Y18" s="514">
        <f>SUM(R18:X18)</f>
        <v>498111</v>
      </c>
      <c r="Z18" s="653">
        <f>Y18/Q18</f>
        <v>0.77823398999770332</v>
      </c>
    </row>
    <row r="19" spans="1:28" ht="13.5" thickTop="1" x14ac:dyDescent="0.2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411"/>
      <c r="Y19" s="270"/>
      <c r="Z19" s="281"/>
    </row>
    <row r="20" spans="1:28" x14ac:dyDescent="0.2">
      <c r="R20" s="270"/>
      <c r="S20" s="270"/>
      <c r="T20" s="270"/>
    </row>
  </sheetData>
  <mergeCells count="4">
    <mergeCell ref="C1:I1"/>
    <mergeCell ref="J1:Q1"/>
    <mergeCell ref="R1:Y1"/>
    <mergeCell ref="Z1:Z2"/>
  </mergeCells>
  <phoneticPr fontId="0" type="noConversion"/>
  <printOptions horizontalCentered="1" gridLines="1"/>
  <pageMargins left="0.82677165354330717" right="0.74803149606299213" top="1.6141732283464567" bottom="0.43307086614173229" header="0.78740157480314965" footer="0.51181102362204722"/>
  <pageSetup paperSize="8" scale="53" orientation="landscape" blackAndWhite="1" r:id="rId1"/>
  <headerFooter alignWithMargins="0">
    <oddHeader>&amp;C&amp;"Times New Roman CE,Félkövér"&amp;16Tájékoztató adatok
Polgármesteri hivatali feladatok&amp;"Times New Roman CE,Normál"&amp;18
&amp;11/ ezer Ft /&amp;R&amp;"Times New Roman,Normál"&amp;12 8/c. sz.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AA26"/>
  <sheetViews>
    <sheetView zoomScale="85" zoomScaleNormal="85" workbookViewId="0">
      <pane xSplit="1" ySplit="2" topLeftCell="B12" activePane="bottomRight" state="frozen"/>
      <selection activeCell="C26" sqref="C26"/>
      <selection pane="topRight" activeCell="C26" sqref="C26"/>
      <selection pane="bottomLeft" activeCell="C26" sqref="C26"/>
      <selection pane="bottomRight" activeCell="I6" sqref="I6"/>
    </sheetView>
  </sheetViews>
  <sheetFormatPr defaultRowHeight="12.75" x14ac:dyDescent="0.2"/>
  <cols>
    <col min="1" max="1" width="27.85546875" style="41" customWidth="1"/>
    <col min="2" max="2" width="10.140625" style="126" customWidth="1"/>
    <col min="3" max="4" width="9" style="126" customWidth="1"/>
    <col min="5" max="5" width="4.85546875" style="126" customWidth="1"/>
    <col min="6" max="6" width="5.7109375" style="126" customWidth="1"/>
    <col min="7" max="7" width="8.42578125" style="126" customWidth="1"/>
    <col min="8" max="8" width="8.28515625" style="126" bestFit="1" customWidth="1"/>
    <col min="9" max="9" width="10.28515625" style="126" customWidth="1"/>
    <col min="10" max="10" width="10.42578125" style="126" customWidth="1"/>
    <col min="11" max="11" width="8.7109375" style="126" bestFit="1" customWidth="1"/>
    <col min="12" max="12" width="10" style="126" customWidth="1"/>
    <col min="13" max="13" width="8.7109375" style="126" bestFit="1" customWidth="1"/>
    <col min="14" max="14" width="5.7109375" style="126" customWidth="1"/>
    <col min="15" max="15" width="8.7109375" style="126" bestFit="1" customWidth="1"/>
    <col min="16" max="16" width="10.28515625" style="126" customWidth="1"/>
    <col min="17" max="17" width="10.140625" style="126" customWidth="1"/>
    <col min="18" max="18" width="12" style="207" customWidth="1"/>
    <col min="19" max="19" width="10" style="207" customWidth="1"/>
    <col min="20" max="20" width="11" style="207" customWidth="1"/>
    <col min="21" max="21" width="8.7109375" style="207" bestFit="1" customWidth="1"/>
    <col min="22" max="22" width="4.140625" style="207" customWidth="1"/>
    <col min="23" max="23" width="9.28515625" style="126" customWidth="1"/>
    <col min="24" max="24" width="9" style="126" customWidth="1"/>
    <col min="25" max="25" width="10.28515625" style="126" customWidth="1"/>
    <col min="26" max="26" width="13" style="17" customWidth="1"/>
  </cols>
  <sheetData>
    <row r="1" spans="1:27" ht="38.450000000000003" customHeight="1" thickTop="1" x14ac:dyDescent="0.3">
      <c r="A1" s="65"/>
      <c r="B1" s="66"/>
      <c r="C1" s="66"/>
      <c r="D1" s="66" t="s">
        <v>567</v>
      </c>
      <c r="E1" s="66"/>
      <c r="F1" s="66"/>
      <c r="G1" s="66"/>
      <c r="H1" s="66"/>
      <c r="I1" s="115"/>
      <c r="J1" s="1266" t="s">
        <v>568</v>
      </c>
      <c r="K1" s="1267"/>
      <c r="L1" s="1267"/>
      <c r="M1" s="1267"/>
      <c r="N1" s="1267"/>
      <c r="O1" s="1267"/>
      <c r="P1" s="1267"/>
      <c r="Q1" s="1268"/>
      <c r="R1" s="1264" t="s">
        <v>606</v>
      </c>
      <c r="S1" s="1254"/>
      <c r="T1" s="1254"/>
      <c r="U1" s="1254"/>
      <c r="V1" s="1254"/>
      <c r="W1" s="1254"/>
      <c r="X1" s="1254"/>
      <c r="Y1" s="1265"/>
    </row>
    <row r="2" spans="1:27" ht="81.75" customHeight="1" thickBot="1" x14ac:dyDescent="0.25">
      <c r="A2" s="67" t="s">
        <v>66</v>
      </c>
      <c r="B2" s="116" t="s">
        <v>77</v>
      </c>
      <c r="C2" s="116" t="s">
        <v>79</v>
      </c>
      <c r="D2" s="116" t="s">
        <v>80</v>
      </c>
      <c r="E2" s="116" t="s">
        <v>81</v>
      </c>
      <c r="F2" s="116" t="s">
        <v>82</v>
      </c>
      <c r="G2" s="116" t="s">
        <v>78</v>
      </c>
      <c r="H2" s="116" t="s">
        <v>83</v>
      </c>
      <c r="I2" s="117" t="s">
        <v>63</v>
      </c>
      <c r="J2" s="116" t="s">
        <v>77</v>
      </c>
      <c r="K2" s="116" t="s">
        <v>79</v>
      </c>
      <c r="L2" s="116" t="s">
        <v>80</v>
      </c>
      <c r="M2" s="116" t="s">
        <v>81</v>
      </c>
      <c r="N2" s="116" t="s">
        <v>82</v>
      </c>
      <c r="O2" s="116" t="s">
        <v>78</v>
      </c>
      <c r="P2" s="116" t="s">
        <v>83</v>
      </c>
      <c r="Q2" s="117" t="s">
        <v>63</v>
      </c>
      <c r="R2" s="747" t="s">
        <v>77</v>
      </c>
      <c r="S2" s="116" t="s">
        <v>79</v>
      </c>
      <c r="T2" s="116" t="s">
        <v>80</v>
      </c>
      <c r="U2" s="116" t="s">
        <v>81</v>
      </c>
      <c r="V2" s="116" t="s">
        <v>82</v>
      </c>
      <c r="W2" s="116" t="s">
        <v>78</v>
      </c>
      <c r="X2" s="116" t="s">
        <v>83</v>
      </c>
      <c r="Y2" s="117" t="s">
        <v>63</v>
      </c>
    </row>
    <row r="3" spans="1:27" ht="30" customHeight="1" x14ac:dyDescent="0.2">
      <c r="A3" s="68" t="s">
        <v>137</v>
      </c>
      <c r="B3" s="119">
        <v>268388</v>
      </c>
      <c r="C3" s="119">
        <v>48315</v>
      </c>
      <c r="D3" s="119">
        <v>48150</v>
      </c>
      <c r="E3" s="119"/>
      <c r="F3" s="119"/>
      <c r="G3" s="119"/>
      <c r="H3" s="119"/>
      <c r="I3" s="118">
        <f t="shared" ref="I3:I13" si="0">SUM(B3:G3)</f>
        <v>364853</v>
      </c>
      <c r="J3" s="119">
        <v>268388</v>
      </c>
      <c r="K3" s="119">
        <v>48315</v>
      </c>
      <c r="L3" s="119">
        <v>48150</v>
      </c>
      <c r="M3" s="119"/>
      <c r="N3" s="119"/>
      <c r="O3" s="119"/>
      <c r="P3" s="119">
        <v>516</v>
      </c>
      <c r="Q3" s="118">
        <f t="shared" ref="Q3:Q14" si="1">SUM(J3:P3)</f>
        <v>365369</v>
      </c>
      <c r="R3" s="748">
        <v>268063</v>
      </c>
      <c r="S3" s="119">
        <v>50006</v>
      </c>
      <c r="T3" s="119">
        <v>32013</v>
      </c>
      <c r="U3" s="119"/>
      <c r="V3" s="119"/>
      <c r="W3" s="119">
        <v>1971</v>
      </c>
      <c r="X3" s="119"/>
      <c r="Y3" s="118">
        <f t="shared" ref="Y3:Y14" si="2">SUM(R3:X3)</f>
        <v>352053</v>
      </c>
      <c r="AA3" s="69"/>
    </row>
    <row r="4" spans="1:27" ht="36.75" customHeight="1" x14ac:dyDescent="0.2">
      <c r="A4" s="68" t="s">
        <v>201</v>
      </c>
      <c r="B4" s="119"/>
      <c r="C4" s="119"/>
      <c r="D4" s="119"/>
      <c r="E4" s="119"/>
      <c r="F4" s="119"/>
      <c r="G4" s="119"/>
      <c r="H4" s="119"/>
      <c r="I4" s="118">
        <f t="shared" si="0"/>
        <v>0</v>
      </c>
      <c r="J4" s="119">
        <v>30075</v>
      </c>
      <c r="K4" s="119">
        <v>5264</v>
      </c>
      <c r="L4" s="119">
        <f>1815-1212</f>
        <v>603</v>
      </c>
      <c r="M4" s="119">
        <v>40668</v>
      </c>
      <c r="N4" s="119"/>
      <c r="O4" s="119">
        <v>9150</v>
      </c>
      <c r="P4" s="119">
        <v>1212</v>
      </c>
      <c r="Q4" s="118">
        <f t="shared" si="1"/>
        <v>86972</v>
      </c>
      <c r="R4" s="748">
        <v>14872</v>
      </c>
      <c r="S4" s="119">
        <v>2298</v>
      </c>
      <c r="T4" s="119"/>
      <c r="U4" s="119">
        <v>40668</v>
      </c>
      <c r="V4" s="119"/>
      <c r="W4" s="119"/>
      <c r="X4" s="119">
        <v>1728</v>
      </c>
      <c r="Y4" s="118">
        <f t="shared" si="2"/>
        <v>59566</v>
      </c>
      <c r="Z4" s="140"/>
    </row>
    <row r="5" spans="1:27" ht="57.75" customHeight="1" x14ac:dyDescent="0.2">
      <c r="A5" s="68" t="s">
        <v>500</v>
      </c>
      <c r="B5" s="119">
        <v>0</v>
      </c>
      <c r="C5" s="119">
        <v>0</v>
      </c>
      <c r="D5" s="119"/>
      <c r="E5" s="119"/>
      <c r="F5" s="119"/>
      <c r="G5" s="119"/>
      <c r="H5" s="119"/>
      <c r="I5" s="118">
        <f t="shared" si="0"/>
        <v>0</v>
      </c>
      <c r="J5" s="119">
        <v>24457</v>
      </c>
      <c r="K5" s="119">
        <v>4280</v>
      </c>
      <c r="L5" s="119"/>
      <c r="M5" s="119"/>
      <c r="N5" s="119"/>
      <c r="O5" s="119"/>
      <c r="P5" s="119"/>
      <c r="Q5" s="118">
        <f t="shared" si="1"/>
        <v>28737</v>
      </c>
      <c r="R5" s="748"/>
      <c r="S5" s="119"/>
      <c r="T5" s="119"/>
      <c r="U5" s="119"/>
      <c r="V5" s="119"/>
      <c r="W5" s="119"/>
      <c r="X5" s="119"/>
      <c r="Y5" s="118">
        <f t="shared" si="2"/>
        <v>0</v>
      </c>
      <c r="Z5" s="273"/>
      <c r="AA5" s="69"/>
    </row>
    <row r="6" spans="1:27" ht="45" customHeight="1" x14ac:dyDescent="0.2">
      <c r="A6" s="68" t="s">
        <v>650</v>
      </c>
      <c r="B6" s="119"/>
      <c r="C6" s="119"/>
      <c r="D6" s="119"/>
      <c r="E6" s="119"/>
      <c r="F6" s="119"/>
      <c r="G6" s="119"/>
      <c r="H6" s="119"/>
      <c r="I6" s="118">
        <f t="shared" si="0"/>
        <v>0</v>
      </c>
      <c r="J6" s="119"/>
      <c r="K6" s="119"/>
      <c r="L6" s="119"/>
      <c r="M6" s="119"/>
      <c r="N6" s="119"/>
      <c r="O6" s="119"/>
      <c r="P6" s="119"/>
      <c r="Q6" s="118">
        <f t="shared" si="1"/>
        <v>0</v>
      </c>
      <c r="R6" s="748"/>
      <c r="S6" s="119"/>
      <c r="T6" s="119"/>
      <c r="U6" s="119"/>
      <c r="V6" s="119"/>
      <c r="W6" s="119"/>
      <c r="X6" s="119"/>
      <c r="Y6" s="118">
        <f t="shared" si="2"/>
        <v>0</v>
      </c>
    </row>
    <row r="7" spans="1:27" ht="37.5" customHeight="1" x14ac:dyDescent="0.2">
      <c r="A7" s="68" t="s">
        <v>602</v>
      </c>
      <c r="B7" s="119"/>
      <c r="C7" s="119"/>
      <c r="D7" s="119"/>
      <c r="E7" s="119"/>
      <c r="F7" s="119"/>
      <c r="G7" s="119"/>
      <c r="H7" s="119"/>
      <c r="I7" s="118">
        <f t="shared" si="0"/>
        <v>0</v>
      </c>
      <c r="J7" s="119"/>
      <c r="K7" s="119"/>
      <c r="L7" s="119">
        <f>44525-516-1700-13500</f>
        <v>28809</v>
      </c>
      <c r="M7" s="119"/>
      <c r="N7" s="119"/>
      <c r="O7" s="119"/>
      <c r="P7" s="119"/>
      <c r="Q7" s="118">
        <f t="shared" si="1"/>
        <v>28809</v>
      </c>
      <c r="R7" s="748"/>
      <c r="S7" s="119"/>
      <c r="T7" s="119">
        <v>0</v>
      </c>
      <c r="U7" s="119"/>
      <c r="V7" s="119"/>
      <c r="W7" s="119"/>
      <c r="X7" s="119"/>
      <c r="Y7" s="118">
        <f t="shared" si="2"/>
        <v>0</v>
      </c>
    </row>
    <row r="8" spans="1:27" ht="30" customHeight="1" x14ac:dyDescent="0.2">
      <c r="A8" s="68" t="s">
        <v>169</v>
      </c>
      <c r="B8" s="119"/>
      <c r="C8" s="119"/>
      <c r="D8" s="119">
        <v>2200</v>
      </c>
      <c r="E8" s="119"/>
      <c r="F8" s="119"/>
      <c r="G8" s="119"/>
      <c r="H8" s="119"/>
      <c r="I8" s="118">
        <f t="shared" si="0"/>
        <v>2200</v>
      </c>
      <c r="J8" s="119"/>
      <c r="K8" s="119"/>
      <c r="L8" s="119">
        <v>2200</v>
      </c>
      <c r="M8" s="119"/>
      <c r="N8" s="119"/>
      <c r="O8" s="119"/>
      <c r="P8" s="119"/>
      <c r="Q8" s="118">
        <f t="shared" si="1"/>
        <v>2200</v>
      </c>
      <c r="R8" s="748"/>
      <c r="S8" s="119"/>
      <c r="T8" s="119">
        <v>1937</v>
      </c>
      <c r="U8" s="119"/>
      <c r="V8" s="119"/>
      <c r="W8" s="119"/>
      <c r="X8" s="119"/>
      <c r="Y8" s="118">
        <f t="shared" si="2"/>
        <v>1937</v>
      </c>
    </row>
    <row r="9" spans="1:27" ht="35.25" customHeight="1" x14ac:dyDescent="0.2">
      <c r="A9" s="68" t="s">
        <v>610</v>
      </c>
      <c r="B9" s="119"/>
      <c r="C9" s="119"/>
      <c r="D9" s="119"/>
      <c r="E9" s="119"/>
      <c r="F9" s="119"/>
      <c r="G9" s="119"/>
      <c r="H9" s="119"/>
      <c r="I9" s="118">
        <f t="shared" si="0"/>
        <v>0</v>
      </c>
      <c r="J9" s="119"/>
      <c r="K9" s="119"/>
      <c r="L9" s="119"/>
      <c r="M9" s="119"/>
      <c r="N9" s="119"/>
      <c r="O9" s="119"/>
      <c r="P9" s="119"/>
      <c r="Q9" s="118">
        <f t="shared" si="1"/>
        <v>0</v>
      </c>
      <c r="R9" s="748"/>
      <c r="S9" s="119"/>
      <c r="T9" s="119">
        <v>71</v>
      </c>
      <c r="U9" s="119"/>
      <c r="V9" s="119"/>
      <c r="W9" s="119"/>
      <c r="X9" s="119"/>
      <c r="Y9" s="118">
        <f t="shared" si="2"/>
        <v>71</v>
      </c>
    </row>
    <row r="10" spans="1:27" ht="36.75" customHeight="1" x14ac:dyDescent="0.2">
      <c r="A10" s="68" t="s">
        <v>419</v>
      </c>
      <c r="B10" s="119"/>
      <c r="C10" s="119"/>
      <c r="D10" s="119">
        <v>4000</v>
      </c>
      <c r="E10" s="119"/>
      <c r="F10" s="119"/>
      <c r="G10" s="119"/>
      <c r="H10" s="119"/>
      <c r="I10" s="118">
        <f t="shared" si="0"/>
        <v>4000</v>
      </c>
      <c r="J10" s="119"/>
      <c r="K10" s="119"/>
      <c r="L10" s="119">
        <v>4273</v>
      </c>
      <c r="M10" s="119"/>
      <c r="N10" s="119"/>
      <c r="O10" s="119"/>
      <c r="P10" s="119"/>
      <c r="Q10" s="118">
        <f t="shared" si="1"/>
        <v>4273</v>
      </c>
      <c r="R10" s="748"/>
      <c r="S10" s="119"/>
      <c r="T10" s="119">
        <v>3159</v>
      </c>
      <c r="U10" s="119"/>
      <c r="V10" s="119"/>
      <c r="W10" s="119"/>
      <c r="X10" s="119"/>
      <c r="Y10" s="118">
        <f t="shared" si="2"/>
        <v>3159</v>
      </c>
    </row>
    <row r="11" spans="1:27" ht="36.75" customHeight="1" x14ac:dyDescent="0.2">
      <c r="A11" s="71" t="s">
        <v>673</v>
      </c>
      <c r="B11" s="119"/>
      <c r="C11" s="119"/>
      <c r="D11" s="119"/>
      <c r="E11" s="119"/>
      <c r="F11" s="119"/>
      <c r="G11" s="119"/>
      <c r="H11" s="119"/>
      <c r="I11" s="118">
        <f t="shared" si="0"/>
        <v>0</v>
      </c>
      <c r="J11" s="119"/>
      <c r="K11" s="119"/>
      <c r="L11" s="119">
        <v>-553</v>
      </c>
      <c r="M11" s="119"/>
      <c r="N11" s="119"/>
      <c r="O11" s="119">
        <f>1800+553+1700</f>
        <v>4053</v>
      </c>
      <c r="P11" s="119"/>
      <c r="Q11" s="118">
        <f t="shared" si="1"/>
        <v>3500</v>
      </c>
      <c r="R11" s="748"/>
      <c r="S11" s="119"/>
      <c r="T11" s="119"/>
      <c r="U11" s="119"/>
      <c r="V11" s="119"/>
      <c r="W11" s="119"/>
      <c r="X11" s="119"/>
      <c r="Y11" s="118">
        <f t="shared" si="2"/>
        <v>0</v>
      </c>
    </row>
    <row r="12" spans="1:27" ht="29.25" customHeight="1" x14ac:dyDescent="0.2">
      <c r="A12" s="71" t="s">
        <v>491</v>
      </c>
      <c r="B12" s="119"/>
      <c r="C12" s="119"/>
      <c r="D12" s="119"/>
      <c r="E12" s="119"/>
      <c r="F12" s="119"/>
      <c r="G12" s="119"/>
      <c r="H12" s="119"/>
      <c r="I12" s="118">
        <f t="shared" si="0"/>
        <v>0</v>
      </c>
      <c r="J12" s="119"/>
      <c r="K12" s="119"/>
      <c r="L12" s="119"/>
      <c r="M12" s="119">
        <v>7456</v>
      </c>
      <c r="N12" s="119"/>
      <c r="O12" s="119"/>
      <c r="P12" s="119"/>
      <c r="Q12" s="118">
        <f t="shared" si="1"/>
        <v>7456</v>
      </c>
      <c r="R12" s="748"/>
      <c r="S12" s="119"/>
      <c r="T12" s="119"/>
      <c r="U12" s="119"/>
      <c r="V12" s="119"/>
      <c r="W12" s="119"/>
      <c r="X12" s="119"/>
      <c r="Y12" s="118">
        <f t="shared" si="2"/>
        <v>0</v>
      </c>
    </row>
    <row r="13" spans="1:27" ht="29.25" customHeight="1" x14ac:dyDescent="0.2">
      <c r="A13" s="68" t="s">
        <v>431</v>
      </c>
      <c r="B13" s="119"/>
      <c r="C13" s="119">
        <v>4200</v>
      </c>
      <c r="D13" s="119"/>
      <c r="E13" s="119"/>
      <c r="F13" s="119"/>
      <c r="G13" s="119"/>
      <c r="H13" s="119"/>
      <c r="I13" s="118">
        <f t="shared" si="0"/>
        <v>4200</v>
      </c>
      <c r="J13" s="119"/>
      <c r="K13" s="119">
        <v>4200</v>
      </c>
      <c r="L13" s="119"/>
      <c r="M13" s="119"/>
      <c r="N13" s="119"/>
      <c r="O13" s="119"/>
      <c r="P13" s="119"/>
      <c r="Q13" s="118">
        <f t="shared" si="1"/>
        <v>4200</v>
      </c>
      <c r="R13" s="748"/>
      <c r="S13" s="119"/>
      <c r="T13" s="119"/>
      <c r="U13" s="119"/>
      <c r="V13" s="119"/>
      <c r="W13" s="119"/>
      <c r="X13" s="119"/>
      <c r="Y13" s="118">
        <f t="shared" si="2"/>
        <v>0</v>
      </c>
    </row>
    <row r="14" spans="1:27" ht="41.25" customHeight="1" x14ac:dyDescent="0.2">
      <c r="A14" s="68" t="s">
        <v>674</v>
      </c>
      <c r="B14" s="119"/>
      <c r="C14" s="119"/>
      <c r="D14" s="119"/>
      <c r="E14" s="119"/>
      <c r="F14" s="119"/>
      <c r="G14" s="119"/>
      <c r="H14" s="119"/>
      <c r="I14" s="118">
        <f>SUM(B14:G14)</f>
        <v>0</v>
      </c>
      <c r="J14" s="119">
        <f>-5471+2</f>
        <v>-5469</v>
      </c>
      <c r="K14" s="119">
        <f>-1006-2</f>
        <v>-1008</v>
      </c>
      <c r="L14" s="119">
        <v>-18894</v>
      </c>
      <c r="M14" s="119"/>
      <c r="N14" s="119"/>
      <c r="O14" s="119"/>
      <c r="P14" s="119">
        <f>18894+13500</f>
        <v>32394</v>
      </c>
      <c r="Q14" s="118">
        <f t="shared" si="1"/>
        <v>7023</v>
      </c>
      <c r="R14" s="748">
        <v>724</v>
      </c>
      <c r="S14" s="119">
        <v>133</v>
      </c>
      <c r="T14" s="119"/>
      <c r="U14" s="119"/>
      <c r="V14" s="119"/>
      <c r="W14" s="119"/>
      <c r="X14" s="119"/>
      <c r="Y14" s="118">
        <f t="shared" si="2"/>
        <v>857</v>
      </c>
    </row>
    <row r="15" spans="1:27" ht="30.75" customHeight="1" thickBot="1" x14ac:dyDescent="0.25">
      <c r="A15" s="72" t="s">
        <v>63</v>
      </c>
      <c r="B15" s="73">
        <f t="shared" ref="B15:G15" si="3">SUM(B3:B14)</f>
        <v>268388</v>
      </c>
      <c r="C15" s="73">
        <f t="shared" si="3"/>
        <v>52515</v>
      </c>
      <c r="D15" s="73">
        <f t="shared" si="3"/>
        <v>54350</v>
      </c>
      <c r="E15" s="73">
        <f t="shared" si="3"/>
        <v>0</v>
      </c>
      <c r="F15" s="73">
        <f t="shared" si="3"/>
        <v>0</v>
      </c>
      <c r="G15" s="73">
        <f t="shared" si="3"/>
        <v>0</v>
      </c>
      <c r="H15" s="73"/>
      <c r="I15" s="74">
        <f>SUM(B15:G15)</f>
        <v>375253</v>
      </c>
      <c r="J15" s="73">
        <f t="shared" ref="J15:Y15" si="4">SUM(J3:J14)</f>
        <v>317451</v>
      </c>
      <c r="K15" s="73">
        <f t="shared" si="4"/>
        <v>61051</v>
      </c>
      <c r="L15" s="73">
        <f t="shared" si="4"/>
        <v>64588</v>
      </c>
      <c r="M15" s="73">
        <f t="shared" si="4"/>
        <v>48124</v>
      </c>
      <c r="N15" s="73">
        <f t="shared" si="4"/>
        <v>0</v>
      </c>
      <c r="O15" s="73">
        <f t="shared" si="4"/>
        <v>13203</v>
      </c>
      <c r="P15" s="73">
        <f t="shared" si="4"/>
        <v>34122</v>
      </c>
      <c r="Q15" s="74">
        <f t="shared" si="4"/>
        <v>538539</v>
      </c>
      <c r="R15" s="749">
        <f t="shared" si="4"/>
        <v>283659</v>
      </c>
      <c r="S15" s="73">
        <f t="shared" si="4"/>
        <v>52437</v>
      </c>
      <c r="T15" s="73">
        <f t="shared" si="4"/>
        <v>37180</v>
      </c>
      <c r="U15" s="73">
        <f t="shared" si="4"/>
        <v>40668</v>
      </c>
      <c r="V15" s="73">
        <f t="shared" si="4"/>
        <v>0</v>
      </c>
      <c r="W15" s="73">
        <f t="shared" si="4"/>
        <v>1971</v>
      </c>
      <c r="X15" s="73">
        <f t="shared" si="4"/>
        <v>1728</v>
      </c>
      <c r="Y15" s="74">
        <f t="shared" si="4"/>
        <v>417643</v>
      </c>
      <c r="Z15" s="70"/>
    </row>
    <row r="16" spans="1:27" ht="24.95" customHeight="1" thickTop="1" x14ac:dyDescent="0.3">
      <c r="A16" s="114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</row>
    <row r="17" spans="1:26" ht="24.95" customHeight="1" x14ac:dyDescent="0.3">
      <c r="A17" s="1150" t="s">
        <v>138</v>
      </c>
      <c r="B17" s="750"/>
      <c r="C17" s="750"/>
      <c r="D17" s="750">
        <v>5200</v>
      </c>
      <c r="E17" s="750"/>
      <c r="F17" s="750"/>
      <c r="G17" s="750"/>
      <c r="H17" s="750"/>
      <c r="I17" s="750">
        <f t="shared" ref="I17:I23" si="5">SUM(B17:H17)</f>
        <v>5200</v>
      </c>
      <c r="J17" s="750"/>
      <c r="K17" s="750"/>
      <c r="L17" s="750">
        <v>5957</v>
      </c>
      <c r="M17" s="750"/>
      <c r="N17" s="750"/>
      <c r="O17" s="750"/>
      <c r="P17" s="750"/>
      <c r="Q17" s="756">
        <f t="shared" ref="Q17:Q25" si="6">SUM(J17:P17)</f>
        <v>5957</v>
      </c>
      <c r="R17" s="759"/>
      <c r="S17" s="750"/>
      <c r="T17" s="750">
        <v>4163</v>
      </c>
      <c r="U17" s="750"/>
      <c r="V17" s="750"/>
      <c r="W17" s="750"/>
      <c r="X17" s="750"/>
      <c r="Y17" s="762">
        <f t="shared" ref="Y17:Y24" si="7">SUM(R17:X17)</f>
        <v>4163</v>
      </c>
      <c r="Z17" s="77"/>
    </row>
    <row r="18" spans="1:26" ht="24.95" customHeight="1" x14ac:dyDescent="0.3">
      <c r="A18" s="1151" t="s">
        <v>139</v>
      </c>
      <c r="B18" s="751">
        <v>2116</v>
      </c>
      <c r="C18" s="751">
        <v>398</v>
      </c>
      <c r="D18" s="751">
        <v>1250</v>
      </c>
      <c r="E18" s="751"/>
      <c r="F18" s="751"/>
      <c r="G18" s="751">
        <v>200</v>
      </c>
      <c r="H18" s="751">
        <v>1000</v>
      </c>
      <c r="I18" s="751">
        <f t="shared" si="5"/>
        <v>4964</v>
      </c>
      <c r="J18" s="751">
        <v>2248</v>
      </c>
      <c r="K18" s="751">
        <v>421</v>
      </c>
      <c r="L18" s="751">
        <v>1265</v>
      </c>
      <c r="M18" s="751"/>
      <c r="N18" s="751"/>
      <c r="O18" s="751">
        <v>200</v>
      </c>
      <c r="P18" s="751">
        <v>800</v>
      </c>
      <c r="Q18" s="757">
        <f t="shared" si="6"/>
        <v>4934</v>
      </c>
      <c r="R18" s="760">
        <v>2414</v>
      </c>
      <c r="S18" s="751">
        <v>429</v>
      </c>
      <c r="T18" s="751">
        <v>887</v>
      </c>
      <c r="U18" s="751"/>
      <c r="V18" s="751"/>
      <c r="W18" s="751">
        <v>188</v>
      </c>
      <c r="X18" s="751"/>
      <c r="Y18" s="753">
        <f t="shared" si="7"/>
        <v>3918</v>
      </c>
      <c r="Z18" s="77"/>
    </row>
    <row r="19" spans="1:26" ht="43.5" customHeight="1" x14ac:dyDescent="0.3">
      <c r="A19" s="1152" t="s">
        <v>437</v>
      </c>
      <c r="B19" s="751"/>
      <c r="C19" s="751"/>
      <c r="D19" s="752"/>
      <c r="E19" s="751"/>
      <c r="F19" s="751"/>
      <c r="G19" s="751"/>
      <c r="H19" s="751"/>
      <c r="I19" s="751">
        <f t="shared" si="5"/>
        <v>0</v>
      </c>
      <c r="J19" s="751"/>
      <c r="K19" s="751"/>
      <c r="L19" s="752"/>
      <c r="M19" s="751"/>
      <c r="N19" s="751"/>
      <c r="O19" s="751"/>
      <c r="P19" s="751"/>
      <c r="Q19" s="757">
        <f t="shared" si="6"/>
        <v>0</v>
      </c>
      <c r="R19" s="760"/>
      <c r="S19" s="751"/>
      <c r="T19" s="751"/>
      <c r="U19" s="751"/>
      <c r="V19" s="751"/>
      <c r="W19" s="751"/>
      <c r="X19" s="751"/>
      <c r="Y19" s="753">
        <f t="shared" si="7"/>
        <v>0</v>
      </c>
      <c r="Z19" s="77"/>
    </row>
    <row r="20" spans="1:26" ht="24.95" customHeight="1" x14ac:dyDescent="0.3">
      <c r="A20" s="1151" t="s">
        <v>173</v>
      </c>
      <c r="B20" s="751"/>
      <c r="C20" s="751"/>
      <c r="D20" s="751"/>
      <c r="E20" s="751"/>
      <c r="F20" s="751"/>
      <c r="G20" s="751"/>
      <c r="H20" s="751"/>
      <c r="I20" s="751">
        <f t="shared" si="5"/>
        <v>0</v>
      </c>
      <c r="J20" s="751"/>
      <c r="K20" s="751"/>
      <c r="L20" s="751"/>
      <c r="M20" s="751"/>
      <c r="N20" s="751"/>
      <c r="O20" s="751"/>
      <c r="P20" s="751"/>
      <c r="Q20" s="757">
        <f t="shared" si="6"/>
        <v>0</v>
      </c>
      <c r="R20" s="760"/>
      <c r="S20" s="751"/>
      <c r="T20" s="751"/>
      <c r="U20" s="751"/>
      <c r="V20" s="751"/>
      <c r="W20" s="751"/>
      <c r="X20" s="751"/>
      <c r="Y20" s="753">
        <f t="shared" si="7"/>
        <v>0</v>
      </c>
      <c r="Z20" s="77"/>
    </row>
    <row r="21" spans="1:26" ht="24.95" customHeight="1" x14ac:dyDescent="0.3">
      <c r="A21" s="1151" t="s">
        <v>174</v>
      </c>
      <c r="B21" s="751"/>
      <c r="C21" s="751"/>
      <c r="D21" s="752"/>
      <c r="E21" s="751"/>
      <c r="F21" s="751"/>
      <c r="G21" s="751"/>
      <c r="H21" s="751"/>
      <c r="I21" s="751">
        <f t="shared" si="5"/>
        <v>0</v>
      </c>
      <c r="J21" s="751"/>
      <c r="K21" s="751"/>
      <c r="L21" s="752"/>
      <c r="M21" s="751"/>
      <c r="N21" s="751"/>
      <c r="O21" s="751"/>
      <c r="P21" s="751"/>
      <c r="Q21" s="757">
        <f t="shared" si="6"/>
        <v>0</v>
      </c>
      <c r="R21" s="760"/>
      <c r="S21" s="751"/>
      <c r="T21" s="752"/>
      <c r="U21" s="751"/>
      <c r="V21" s="751"/>
      <c r="W21" s="751"/>
      <c r="X21" s="751"/>
      <c r="Y21" s="753">
        <f t="shared" si="7"/>
        <v>0</v>
      </c>
      <c r="Z21" s="77"/>
    </row>
    <row r="22" spans="1:26" ht="24.95" customHeight="1" x14ac:dyDescent="0.3">
      <c r="A22" s="1151" t="s">
        <v>140</v>
      </c>
      <c r="B22" s="751"/>
      <c r="C22" s="751"/>
      <c r="D22" s="751">
        <v>500</v>
      </c>
      <c r="E22" s="751"/>
      <c r="F22" s="751"/>
      <c r="G22" s="751"/>
      <c r="H22" s="751"/>
      <c r="I22" s="751">
        <f t="shared" si="5"/>
        <v>500</v>
      </c>
      <c r="J22" s="751"/>
      <c r="K22" s="751"/>
      <c r="L22" s="751">
        <f>306-205</f>
        <v>101</v>
      </c>
      <c r="M22" s="751"/>
      <c r="N22" s="751"/>
      <c r="O22" s="751"/>
      <c r="P22" s="751">
        <v>205</v>
      </c>
      <c r="Q22" s="757">
        <f t="shared" si="6"/>
        <v>306</v>
      </c>
      <c r="R22" s="760"/>
      <c r="S22" s="751"/>
      <c r="T22" s="751">
        <v>82</v>
      </c>
      <c r="U22" s="751"/>
      <c r="V22" s="751"/>
      <c r="W22" s="751"/>
      <c r="X22" s="751">
        <v>205</v>
      </c>
      <c r="Y22" s="753">
        <f t="shared" si="7"/>
        <v>287</v>
      </c>
      <c r="Z22" s="77"/>
    </row>
    <row r="23" spans="1:26" ht="24.95" customHeight="1" x14ac:dyDescent="0.3">
      <c r="A23" s="1151" t="s">
        <v>141</v>
      </c>
      <c r="B23" s="751">
        <v>240</v>
      </c>
      <c r="C23" s="751">
        <v>38</v>
      </c>
      <c r="D23" s="751">
        <v>400</v>
      </c>
      <c r="E23" s="751"/>
      <c r="F23" s="751"/>
      <c r="G23" s="751">
        <v>200</v>
      </c>
      <c r="H23" s="751"/>
      <c r="I23" s="751">
        <f t="shared" si="5"/>
        <v>878</v>
      </c>
      <c r="J23" s="751">
        <v>240</v>
      </c>
      <c r="K23" s="751">
        <v>38</v>
      </c>
      <c r="L23" s="751">
        <v>403</v>
      </c>
      <c r="M23" s="751"/>
      <c r="N23" s="751"/>
      <c r="O23" s="751">
        <v>200</v>
      </c>
      <c r="P23" s="751"/>
      <c r="Q23" s="757">
        <f t="shared" si="6"/>
        <v>881</v>
      </c>
      <c r="R23" s="760">
        <v>240</v>
      </c>
      <c r="S23" s="751"/>
      <c r="T23" s="751">
        <v>187</v>
      </c>
      <c r="U23" s="751"/>
      <c r="V23" s="751"/>
      <c r="W23" s="751"/>
      <c r="X23" s="751"/>
      <c r="Y23" s="753">
        <f t="shared" si="7"/>
        <v>427</v>
      </c>
      <c r="Z23" s="77"/>
    </row>
    <row r="24" spans="1:26" ht="42" customHeight="1" thickBot="1" x14ac:dyDescent="0.35">
      <c r="A24" s="1153"/>
      <c r="B24" s="754"/>
      <c r="C24" s="754"/>
      <c r="D24" s="754"/>
      <c r="E24" s="754"/>
      <c r="F24" s="754"/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8">
        <f t="shared" si="6"/>
        <v>0</v>
      </c>
      <c r="R24" s="761"/>
      <c r="S24" s="754"/>
      <c r="T24" s="754"/>
      <c r="U24" s="754"/>
      <c r="V24" s="754"/>
      <c r="W24" s="754"/>
      <c r="X24" s="754"/>
      <c r="Y24" s="755">
        <f t="shared" si="7"/>
        <v>0</v>
      </c>
      <c r="Z24" s="77"/>
    </row>
    <row r="25" spans="1:26" ht="24.95" customHeight="1" thickBot="1" x14ac:dyDescent="0.35">
      <c r="A25" s="1154" t="s">
        <v>63</v>
      </c>
      <c r="B25" s="1155">
        <f t="shared" ref="B25:H25" si="8">SUM(B17:B24)</f>
        <v>2356</v>
      </c>
      <c r="C25" s="121">
        <f t="shared" si="8"/>
        <v>436</v>
      </c>
      <c r="D25" s="121">
        <f t="shared" si="8"/>
        <v>7350</v>
      </c>
      <c r="E25" s="121">
        <f t="shared" si="8"/>
        <v>0</v>
      </c>
      <c r="F25" s="121">
        <f t="shared" si="8"/>
        <v>0</v>
      </c>
      <c r="G25" s="121">
        <f t="shared" si="8"/>
        <v>400</v>
      </c>
      <c r="H25" s="121">
        <f t="shared" si="8"/>
        <v>1000</v>
      </c>
      <c r="I25" s="122">
        <f>SUM(B25:H25)</f>
        <v>11542</v>
      </c>
      <c r="J25" s="121">
        <f t="shared" ref="J25:P25" si="9">SUM(J17:J24)</f>
        <v>2488</v>
      </c>
      <c r="K25" s="121">
        <f t="shared" si="9"/>
        <v>459</v>
      </c>
      <c r="L25" s="121">
        <f t="shared" si="9"/>
        <v>7726</v>
      </c>
      <c r="M25" s="121">
        <f t="shared" si="9"/>
        <v>0</v>
      </c>
      <c r="N25" s="121">
        <f t="shared" si="9"/>
        <v>0</v>
      </c>
      <c r="O25" s="121">
        <f t="shared" si="9"/>
        <v>400</v>
      </c>
      <c r="P25" s="121">
        <f t="shared" si="9"/>
        <v>1005</v>
      </c>
      <c r="Q25" s="121">
        <f t="shared" si="6"/>
        <v>12078</v>
      </c>
      <c r="R25" s="763">
        <f t="shared" ref="R25:X25" si="10">SUM(R17:R24)</f>
        <v>2654</v>
      </c>
      <c r="S25" s="764">
        <f t="shared" si="10"/>
        <v>429</v>
      </c>
      <c r="T25" s="764">
        <f t="shared" si="10"/>
        <v>5319</v>
      </c>
      <c r="U25" s="764">
        <f t="shared" si="10"/>
        <v>0</v>
      </c>
      <c r="V25" s="764">
        <f t="shared" si="10"/>
        <v>0</v>
      </c>
      <c r="W25" s="764">
        <f t="shared" si="10"/>
        <v>188</v>
      </c>
      <c r="X25" s="764">
        <f t="shared" si="10"/>
        <v>205</v>
      </c>
      <c r="Y25" s="765">
        <f>SUM(R25:X25)</f>
        <v>8795</v>
      </c>
      <c r="Z25" s="75"/>
    </row>
    <row r="26" spans="1:26" ht="13.5" thickTop="1" x14ac:dyDescent="0.2"/>
  </sheetData>
  <mergeCells count="2">
    <mergeCell ref="R1:Y1"/>
    <mergeCell ref="J1:Q1"/>
  </mergeCells>
  <phoneticPr fontId="0" type="noConversion"/>
  <printOptions horizontalCentered="1"/>
  <pageMargins left="0.78740157480314965" right="0.78740157480314965" top="1.8503937007874016" bottom="0.70866141732283472" header="0.51181102362204722" footer="6.9685039370078741"/>
  <pageSetup paperSize="8" scale="76" orientation="landscape" blackAndWhite="1" horizontalDpi="240" verticalDpi="144" r:id="rId1"/>
  <headerFooter alignWithMargins="0">
    <oddHeader>&amp;C&amp;"Times New Roman CE,Normál\
&amp;"Times New Roman CE,Félkövér\&amp;14Hivatal és ingatlanhasznosítás kiadásai&amp;R&amp;D   &amp;T</oddHeader>
    <oddFooter xml:space="preserve">&amp;R16.sz.melléklet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V61"/>
  <sheetViews>
    <sheetView zoomScale="115" zoomScaleNormal="115" workbookViewId="0">
      <pane xSplit="2" ySplit="2" topLeftCell="G21" activePane="bottomRight" state="frozen"/>
      <selection pane="topRight" activeCell="C1" sqref="C1"/>
      <selection pane="bottomLeft" activeCell="A3" sqref="A3"/>
      <selection pane="bottomRight" activeCell="S7" sqref="S7"/>
    </sheetView>
  </sheetViews>
  <sheetFormatPr defaultRowHeight="12.75" x14ac:dyDescent="0.2"/>
  <cols>
    <col min="1" max="1" width="7.7109375" style="328" customWidth="1"/>
    <col min="2" max="2" width="44.140625" customWidth="1"/>
    <col min="3" max="4" width="6.7109375" customWidth="1"/>
    <col min="5" max="5" width="7.7109375" style="41" customWidth="1"/>
    <col min="6" max="7" width="6.7109375" style="41" customWidth="1"/>
    <col min="8" max="8" width="7.5703125" style="41" customWidth="1"/>
    <col min="9" max="10" width="6.7109375" style="41" customWidth="1"/>
    <col min="11" max="11" width="7.7109375" style="41" customWidth="1"/>
    <col min="12" max="13" width="6.7109375" style="41" customWidth="1"/>
    <col min="14" max="14" width="7.5703125" style="41" customWidth="1"/>
    <col min="15" max="16" width="6.7109375" style="41" customWidth="1"/>
    <col min="17" max="17" width="7.7109375" style="207" customWidth="1"/>
    <col min="18" max="19" width="6.7109375" style="207" customWidth="1"/>
    <col min="20" max="20" width="7.5703125" style="207" customWidth="1"/>
    <col min="21" max="21" width="9.42578125" style="463" customWidth="1"/>
    <col min="22" max="22" width="9.140625" style="41"/>
  </cols>
  <sheetData>
    <row r="1" spans="1:21" ht="19.5" thickTop="1" x14ac:dyDescent="0.2">
      <c r="A1" s="1274" t="s">
        <v>233</v>
      </c>
      <c r="B1" s="396"/>
      <c r="C1" s="1255" t="s">
        <v>565</v>
      </c>
      <c r="D1" s="1254"/>
      <c r="E1" s="1254"/>
      <c r="F1" s="1254"/>
      <c r="G1" s="1254"/>
      <c r="H1" s="1276"/>
      <c r="I1" s="1255" t="s">
        <v>566</v>
      </c>
      <c r="J1" s="1254"/>
      <c r="K1" s="1254"/>
      <c r="L1" s="1254"/>
      <c r="M1" s="1254"/>
      <c r="N1" s="1254"/>
      <c r="O1" s="1255" t="s">
        <v>606</v>
      </c>
      <c r="P1" s="1254"/>
      <c r="Q1" s="1254"/>
      <c r="R1" s="1254"/>
      <c r="S1" s="1254"/>
      <c r="T1" s="1276"/>
      <c r="U1" s="1272" t="s">
        <v>677</v>
      </c>
    </row>
    <row r="2" spans="1:21" ht="89.25" customHeight="1" thickBot="1" x14ac:dyDescent="0.25">
      <c r="A2" s="1275"/>
      <c r="B2" s="397" t="s">
        <v>66</v>
      </c>
      <c r="C2" s="42" t="s">
        <v>77</v>
      </c>
      <c r="D2" s="42" t="s">
        <v>79</v>
      </c>
      <c r="E2" s="42" t="s">
        <v>80</v>
      </c>
      <c r="F2" s="42" t="s">
        <v>81</v>
      </c>
      <c r="G2" s="42" t="s">
        <v>82</v>
      </c>
      <c r="H2" s="123" t="s">
        <v>63</v>
      </c>
      <c r="I2" s="42" t="s">
        <v>77</v>
      </c>
      <c r="J2" s="42" t="s">
        <v>79</v>
      </c>
      <c r="K2" s="42" t="s">
        <v>80</v>
      </c>
      <c r="L2" s="42" t="s">
        <v>81</v>
      </c>
      <c r="M2" s="43" t="s">
        <v>89</v>
      </c>
      <c r="N2" s="42" t="s">
        <v>63</v>
      </c>
      <c r="O2" s="152" t="s">
        <v>77</v>
      </c>
      <c r="P2" s="42" t="s">
        <v>79</v>
      </c>
      <c r="Q2" s="398" t="s">
        <v>80</v>
      </c>
      <c r="R2" s="43" t="s">
        <v>223</v>
      </c>
      <c r="S2" s="398" t="s">
        <v>89</v>
      </c>
      <c r="T2" s="745" t="s">
        <v>63</v>
      </c>
      <c r="U2" s="1273"/>
    </row>
    <row r="3" spans="1:21" ht="23.1" customHeight="1" x14ac:dyDescent="0.2">
      <c r="A3" s="334" t="s">
        <v>410</v>
      </c>
      <c r="B3" s="399" t="s">
        <v>198</v>
      </c>
      <c r="C3" s="33"/>
      <c r="D3" s="33"/>
      <c r="E3" s="15">
        <v>1000</v>
      </c>
      <c r="F3" s="15"/>
      <c r="G3" s="33"/>
      <c r="H3" s="12">
        <f t="shared" ref="H3:H55" si="0">SUM(C3:G3)</f>
        <v>1000</v>
      </c>
      <c r="I3" s="33"/>
      <c r="J3" s="33"/>
      <c r="K3" s="15">
        <v>1000</v>
      </c>
      <c r="L3" s="15"/>
      <c r="M3" s="33"/>
      <c r="N3" s="744">
        <f t="shared" ref="N3:N55" si="1">SUM(I3:M3)</f>
        <v>1000</v>
      </c>
      <c r="O3" s="810"/>
      <c r="P3" s="771"/>
      <c r="Q3" s="771">
        <f>389+546</f>
        <v>935</v>
      </c>
      <c r="R3" s="771"/>
      <c r="S3" s="771"/>
      <c r="T3" s="811">
        <f>SUM(O3:S3)</f>
        <v>935</v>
      </c>
      <c r="U3" s="187">
        <f>T3/N3</f>
        <v>0.93500000000000005</v>
      </c>
    </row>
    <row r="4" spans="1:21" ht="23.1" customHeight="1" x14ac:dyDescent="0.2">
      <c r="A4" s="330" t="s">
        <v>411</v>
      </c>
      <c r="B4" s="399" t="s">
        <v>126</v>
      </c>
      <c r="C4" s="33"/>
      <c r="D4" s="33"/>
      <c r="E4" s="15">
        <v>30000</v>
      </c>
      <c r="F4" s="15"/>
      <c r="G4" s="33"/>
      <c r="H4" s="12">
        <f t="shared" si="0"/>
        <v>30000</v>
      </c>
      <c r="I4" s="33"/>
      <c r="J4" s="33"/>
      <c r="K4" s="15">
        <f>30000+5000</f>
        <v>35000</v>
      </c>
      <c r="L4" s="15"/>
      <c r="M4" s="33"/>
      <c r="N4" s="744">
        <f t="shared" si="1"/>
        <v>35000</v>
      </c>
      <c r="O4" s="810"/>
      <c r="P4" s="771"/>
      <c r="Q4" s="771">
        <v>31500</v>
      </c>
      <c r="R4" s="771"/>
      <c r="S4" s="771"/>
      <c r="T4" s="811">
        <f>SUM(O4:S4)</f>
        <v>31500</v>
      </c>
      <c r="U4" s="173">
        <f>T4/N4</f>
        <v>0.9</v>
      </c>
    </row>
    <row r="5" spans="1:21" ht="23.1" customHeight="1" x14ac:dyDescent="0.2">
      <c r="A5" s="330" t="s">
        <v>412</v>
      </c>
      <c r="B5" s="399" t="s">
        <v>127</v>
      </c>
      <c r="C5" s="33"/>
      <c r="D5" s="33"/>
      <c r="E5" s="15">
        <v>67000</v>
      </c>
      <c r="F5" s="15"/>
      <c r="G5" s="33"/>
      <c r="H5" s="12">
        <f t="shared" si="0"/>
        <v>67000</v>
      </c>
      <c r="I5" s="33"/>
      <c r="J5" s="33"/>
      <c r="K5" s="15">
        <v>67000</v>
      </c>
      <c r="L5" s="15"/>
      <c r="M5" s="33"/>
      <c r="N5" s="744">
        <f t="shared" si="1"/>
        <v>67000</v>
      </c>
      <c r="O5" s="810"/>
      <c r="P5" s="771"/>
      <c r="Q5" s="771">
        <v>67000</v>
      </c>
      <c r="R5" s="771"/>
      <c r="S5" s="771"/>
      <c r="T5" s="811">
        <f t="shared" ref="T5:T55" si="2">SUM(O5:S5)</f>
        <v>67000</v>
      </c>
      <c r="U5" s="173">
        <f t="shared" ref="U5:U55" si="3">T5/N5</f>
        <v>1</v>
      </c>
    </row>
    <row r="6" spans="1:21" ht="23.1" customHeight="1" x14ac:dyDescent="0.2">
      <c r="A6" s="330" t="s">
        <v>413</v>
      </c>
      <c r="B6" s="400" t="s">
        <v>90</v>
      </c>
      <c r="C6" s="33"/>
      <c r="D6" s="33"/>
      <c r="E6" s="15">
        <v>104750</v>
      </c>
      <c r="F6" s="15"/>
      <c r="G6" s="33"/>
      <c r="H6" s="12">
        <f t="shared" si="0"/>
        <v>104750</v>
      </c>
      <c r="I6" s="33"/>
      <c r="J6" s="33"/>
      <c r="K6" s="15">
        <f>104750+5800</f>
        <v>110550</v>
      </c>
      <c r="L6" s="15"/>
      <c r="M6" s="33"/>
      <c r="N6" s="744">
        <f t="shared" si="1"/>
        <v>110550</v>
      </c>
      <c r="O6" s="810"/>
      <c r="P6" s="771"/>
      <c r="Q6" s="771">
        <v>110550</v>
      </c>
      <c r="R6" s="771"/>
      <c r="S6" s="771"/>
      <c r="T6" s="811">
        <f t="shared" si="2"/>
        <v>110550</v>
      </c>
      <c r="U6" s="173">
        <f t="shared" si="3"/>
        <v>1</v>
      </c>
    </row>
    <row r="7" spans="1:21" ht="23.1" customHeight="1" x14ac:dyDescent="0.2">
      <c r="A7" s="330" t="s">
        <v>414</v>
      </c>
      <c r="B7" s="399" t="s">
        <v>188</v>
      </c>
      <c r="C7" s="33"/>
      <c r="D7" s="33"/>
      <c r="E7" s="15">
        <v>103255</v>
      </c>
      <c r="F7" s="15"/>
      <c r="G7" s="33"/>
      <c r="H7" s="12">
        <f t="shared" si="0"/>
        <v>103255</v>
      </c>
      <c r="I7" s="33"/>
      <c r="J7" s="33"/>
      <c r="K7" s="15">
        <v>109927</v>
      </c>
      <c r="L7" s="15"/>
      <c r="M7" s="33"/>
      <c r="N7" s="744">
        <f t="shared" si="1"/>
        <v>109927</v>
      </c>
      <c r="O7" s="810"/>
      <c r="P7" s="771"/>
      <c r="Q7" s="771">
        <v>78345</v>
      </c>
      <c r="R7" s="771"/>
      <c r="S7" s="771"/>
      <c r="T7" s="811">
        <f t="shared" si="2"/>
        <v>78345</v>
      </c>
      <c r="U7" s="173">
        <f t="shared" si="3"/>
        <v>0.71270024652724084</v>
      </c>
    </row>
    <row r="8" spans="1:21" ht="23.1" customHeight="1" x14ac:dyDescent="0.2">
      <c r="A8" s="330" t="s">
        <v>415</v>
      </c>
      <c r="B8" s="399" t="s">
        <v>190</v>
      </c>
      <c r="C8" s="33"/>
      <c r="D8" s="33"/>
      <c r="E8" s="15">
        <v>22000</v>
      </c>
      <c r="F8" s="15"/>
      <c r="G8" s="33"/>
      <c r="H8" s="12">
        <f t="shared" si="0"/>
        <v>22000</v>
      </c>
      <c r="I8" s="33"/>
      <c r="J8" s="33"/>
      <c r="K8" s="15">
        <v>22000</v>
      </c>
      <c r="L8" s="15"/>
      <c r="M8" s="33"/>
      <c r="N8" s="744">
        <f t="shared" si="1"/>
        <v>22000</v>
      </c>
      <c r="O8" s="810"/>
      <c r="P8" s="771"/>
      <c r="Q8" s="771">
        <v>20391</v>
      </c>
      <c r="R8" s="771"/>
      <c r="S8" s="771"/>
      <c r="T8" s="811">
        <f t="shared" si="2"/>
        <v>20391</v>
      </c>
      <c r="U8" s="173">
        <f t="shared" si="3"/>
        <v>0.92686363636363633</v>
      </c>
    </row>
    <row r="9" spans="1:21" ht="23.1" customHeight="1" x14ac:dyDescent="0.2">
      <c r="A9" s="330" t="s">
        <v>416</v>
      </c>
      <c r="B9" s="399" t="s">
        <v>35</v>
      </c>
      <c r="C9" s="33"/>
      <c r="D9" s="33"/>
      <c r="E9" s="15">
        <v>9000</v>
      </c>
      <c r="F9" s="15"/>
      <c r="G9" s="33"/>
      <c r="H9" s="12">
        <f t="shared" si="0"/>
        <v>9000</v>
      </c>
      <c r="I9" s="33"/>
      <c r="J9" s="33"/>
      <c r="K9" s="15">
        <v>9000</v>
      </c>
      <c r="L9" s="15"/>
      <c r="M9" s="33"/>
      <c r="N9" s="744">
        <f t="shared" si="1"/>
        <v>9000</v>
      </c>
      <c r="O9" s="810"/>
      <c r="P9" s="771"/>
      <c r="Q9" s="771">
        <v>9000</v>
      </c>
      <c r="R9" s="771"/>
      <c r="S9" s="771"/>
      <c r="T9" s="811">
        <f t="shared" si="2"/>
        <v>9000</v>
      </c>
      <c r="U9" s="173">
        <f t="shared" si="3"/>
        <v>1</v>
      </c>
    </row>
    <row r="10" spans="1:21" ht="23.1" customHeight="1" x14ac:dyDescent="0.2">
      <c r="A10" s="330" t="s">
        <v>417</v>
      </c>
      <c r="B10" s="399" t="s">
        <v>199</v>
      </c>
      <c r="C10" s="33"/>
      <c r="D10" s="33"/>
      <c r="E10" s="15">
        <v>30000</v>
      </c>
      <c r="F10" s="15"/>
      <c r="G10" s="33"/>
      <c r="H10" s="12">
        <f t="shared" si="0"/>
        <v>30000</v>
      </c>
      <c r="I10" s="33"/>
      <c r="J10" s="33"/>
      <c r="K10" s="15">
        <v>30000</v>
      </c>
      <c r="L10" s="15"/>
      <c r="M10" s="33"/>
      <c r="N10" s="744">
        <f t="shared" si="1"/>
        <v>30000</v>
      </c>
      <c r="O10" s="810"/>
      <c r="P10" s="771"/>
      <c r="Q10" s="771">
        <v>30000</v>
      </c>
      <c r="R10" s="771"/>
      <c r="S10" s="771"/>
      <c r="T10" s="811">
        <f t="shared" si="2"/>
        <v>30000</v>
      </c>
      <c r="U10" s="173">
        <f t="shared" si="3"/>
        <v>1</v>
      </c>
    </row>
    <row r="11" spans="1:21" ht="23.1" customHeight="1" x14ac:dyDescent="0.2">
      <c r="A11" s="330" t="s">
        <v>418</v>
      </c>
      <c r="B11" s="399" t="s">
        <v>375</v>
      </c>
      <c r="C11" s="33"/>
      <c r="D11" s="33"/>
      <c r="E11" s="15">
        <v>40000</v>
      </c>
      <c r="F11" s="15"/>
      <c r="G11" s="33"/>
      <c r="H11" s="12">
        <f t="shared" si="0"/>
        <v>40000</v>
      </c>
      <c r="I11" s="33"/>
      <c r="J11" s="33"/>
      <c r="K11" s="15">
        <f>40000-6800</f>
        <v>33200</v>
      </c>
      <c r="L11" s="15"/>
      <c r="M11" s="33"/>
      <c r="N11" s="744">
        <f t="shared" si="1"/>
        <v>33200</v>
      </c>
      <c r="O11" s="810"/>
      <c r="P11" s="771"/>
      <c r="Q11" s="771">
        <v>33114</v>
      </c>
      <c r="R11" s="771"/>
      <c r="S11" s="771"/>
      <c r="T11" s="811">
        <f t="shared" si="2"/>
        <v>33114</v>
      </c>
      <c r="U11" s="173">
        <f t="shared" si="3"/>
        <v>0.99740963855421683</v>
      </c>
    </row>
    <row r="12" spans="1:21" ht="23.1" customHeight="1" x14ac:dyDescent="0.2">
      <c r="A12" s="330" t="s">
        <v>273</v>
      </c>
      <c r="B12" s="399" t="s">
        <v>236</v>
      </c>
      <c r="C12" s="33"/>
      <c r="D12" s="33"/>
      <c r="E12" s="15">
        <v>12500</v>
      </c>
      <c r="F12" s="15"/>
      <c r="G12" s="33"/>
      <c r="H12" s="12">
        <f t="shared" si="0"/>
        <v>12500</v>
      </c>
      <c r="I12" s="33"/>
      <c r="J12" s="33"/>
      <c r="K12" s="15">
        <v>10000</v>
      </c>
      <c r="L12" s="15"/>
      <c r="M12" s="33"/>
      <c r="N12" s="744">
        <f t="shared" si="1"/>
        <v>10000</v>
      </c>
      <c r="O12" s="810"/>
      <c r="P12" s="771"/>
      <c r="Q12" s="771">
        <v>5772</v>
      </c>
      <c r="R12" s="771"/>
      <c r="S12" s="771"/>
      <c r="T12" s="811">
        <f t="shared" si="2"/>
        <v>5772</v>
      </c>
      <c r="U12" s="173">
        <f t="shared" si="3"/>
        <v>0.57720000000000005</v>
      </c>
    </row>
    <row r="13" spans="1:21" ht="23.1" customHeight="1" x14ac:dyDescent="0.2">
      <c r="A13" s="330" t="s">
        <v>274</v>
      </c>
      <c r="B13" s="401" t="s">
        <v>0</v>
      </c>
      <c r="C13" s="33"/>
      <c r="D13" s="33"/>
      <c r="E13" s="15">
        <v>20000</v>
      </c>
      <c r="F13" s="15"/>
      <c r="G13" s="33"/>
      <c r="H13" s="12">
        <f t="shared" si="0"/>
        <v>20000</v>
      </c>
      <c r="I13" s="33"/>
      <c r="J13" s="33"/>
      <c r="K13" s="15">
        <v>24055</v>
      </c>
      <c r="L13" s="15"/>
      <c r="M13" s="33"/>
      <c r="N13" s="744">
        <f t="shared" si="1"/>
        <v>24055</v>
      </c>
      <c r="O13" s="810"/>
      <c r="P13" s="771"/>
      <c r="Q13" s="771">
        <v>24055</v>
      </c>
      <c r="R13" s="771"/>
      <c r="S13" s="771"/>
      <c r="T13" s="811">
        <f t="shared" si="2"/>
        <v>24055</v>
      </c>
      <c r="U13" s="173">
        <f t="shared" si="3"/>
        <v>1</v>
      </c>
    </row>
    <row r="14" spans="1:21" ht="23.1" customHeight="1" x14ac:dyDescent="0.2">
      <c r="A14" s="330" t="s">
        <v>275</v>
      </c>
      <c r="B14" s="401" t="s">
        <v>534</v>
      </c>
      <c r="C14" s="33"/>
      <c r="D14" s="33"/>
      <c r="E14" s="15">
        <v>2000</v>
      </c>
      <c r="F14" s="15"/>
      <c r="G14" s="33"/>
      <c r="H14" s="12">
        <f t="shared" si="0"/>
        <v>2000</v>
      </c>
      <c r="I14" s="33"/>
      <c r="J14" s="33"/>
      <c r="K14" s="15">
        <v>2909</v>
      </c>
      <c r="L14" s="15"/>
      <c r="M14" s="33"/>
      <c r="N14" s="744">
        <f t="shared" si="1"/>
        <v>2909</v>
      </c>
      <c r="O14" s="810"/>
      <c r="P14" s="771"/>
      <c r="Q14" s="771">
        <v>2909</v>
      </c>
      <c r="R14" s="771"/>
      <c r="S14" s="771"/>
      <c r="T14" s="811">
        <f t="shared" si="2"/>
        <v>2909</v>
      </c>
      <c r="U14" s="173">
        <f t="shared" si="3"/>
        <v>1</v>
      </c>
    </row>
    <row r="15" spans="1:21" ht="23.1" customHeight="1" x14ac:dyDescent="0.2">
      <c r="A15" s="330" t="s">
        <v>276</v>
      </c>
      <c r="B15" s="401" t="s">
        <v>2</v>
      </c>
      <c r="C15" s="33"/>
      <c r="D15" s="33"/>
      <c r="E15" s="15">
        <v>17000</v>
      </c>
      <c r="F15" s="15"/>
      <c r="G15" s="33"/>
      <c r="H15" s="12">
        <f t="shared" si="0"/>
        <v>17000</v>
      </c>
      <c r="I15" s="33"/>
      <c r="J15" s="33"/>
      <c r="K15" s="15">
        <v>18007</v>
      </c>
      <c r="L15" s="15"/>
      <c r="M15" s="33"/>
      <c r="N15" s="744">
        <f t="shared" si="1"/>
        <v>18007</v>
      </c>
      <c r="O15" s="810"/>
      <c r="P15" s="771"/>
      <c r="Q15" s="771">
        <f>12589-4000</f>
        <v>8589</v>
      </c>
      <c r="R15" s="771"/>
      <c r="S15" s="771"/>
      <c r="T15" s="811">
        <f t="shared" si="2"/>
        <v>8589</v>
      </c>
      <c r="U15" s="173">
        <f t="shared" si="3"/>
        <v>0.47698117398789358</v>
      </c>
    </row>
    <row r="16" spans="1:21" ht="27" customHeight="1" x14ac:dyDescent="0.2">
      <c r="A16" s="330" t="s">
        <v>277</v>
      </c>
      <c r="B16" s="401" t="s">
        <v>535</v>
      </c>
      <c r="C16" s="33"/>
      <c r="D16" s="33"/>
      <c r="E16" s="15">
        <v>19000</v>
      </c>
      <c r="F16" s="15"/>
      <c r="G16" s="33"/>
      <c r="H16" s="12">
        <f t="shared" si="0"/>
        <v>19000</v>
      </c>
      <c r="I16" s="33"/>
      <c r="J16" s="33"/>
      <c r="K16" s="15">
        <f>28190+1250</f>
        <v>29440</v>
      </c>
      <c r="L16" s="15"/>
      <c r="M16" s="33"/>
      <c r="N16" s="744">
        <f t="shared" si="1"/>
        <v>29440</v>
      </c>
      <c r="O16" s="810"/>
      <c r="P16" s="771"/>
      <c r="Q16" s="771">
        <v>28797</v>
      </c>
      <c r="R16" s="771"/>
      <c r="S16" s="771"/>
      <c r="T16" s="811">
        <f t="shared" si="2"/>
        <v>28797</v>
      </c>
      <c r="U16" s="173">
        <f t="shared" si="3"/>
        <v>0.97815896739130437</v>
      </c>
    </row>
    <row r="17" spans="1:21" ht="23.1" customHeight="1" x14ac:dyDescent="0.2">
      <c r="A17" s="330" t="s">
        <v>278</v>
      </c>
      <c r="B17" s="401" t="s">
        <v>237</v>
      </c>
      <c r="C17" s="33"/>
      <c r="D17" s="33"/>
      <c r="E17" s="15">
        <v>3000</v>
      </c>
      <c r="F17" s="15"/>
      <c r="G17" s="33"/>
      <c r="H17" s="12">
        <f t="shared" si="0"/>
        <v>3000</v>
      </c>
      <c r="I17" s="33"/>
      <c r="J17" s="33"/>
      <c r="K17" s="15">
        <f>3000+2540</f>
        <v>5540</v>
      </c>
      <c r="L17" s="15"/>
      <c r="M17" s="33">
        <v>914</v>
      </c>
      <c r="N17" s="744">
        <f t="shared" si="1"/>
        <v>6454</v>
      </c>
      <c r="O17" s="810"/>
      <c r="P17" s="771"/>
      <c r="Q17" s="771">
        <v>4140</v>
      </c>
      <c r="R17" s="771"/>
      <c r="S17" s="771">
        <v>914</v>
      </c>
      <c r="T17" s="811">
        <f t="shared" si="2"/>
        <v>5054</v>
      </c>
      <c r="U17" s="173">
        <f t="shared" si="3"/>
        <v>0.7830802603036876</v>
      </c>
    </row>
    <row r="18" spans="1:21" ht="23.1" customHeight="1" x14ac:dyDescent="0.2">
      <c r="A18" s="330" t="s">
        <v>279</v>
      </c>
      <c r="B18" s="401" t="s">
        <v>492</v>
      </c>
      <c r="C18" s="33"/>
      <c r="D18" s="33"/>
      <c r="E18" s="15">
        <v>6240</v>
      </c>
      <c r="F18" s="15"/>
      <c r="G18" s="33"/>
      <c r="H18" s="12">
        <f t="shared" si="0"/>
        <v>6240</v>
      </c>
      <c r="I18" s="33">
        <v>500</v>
      </c>
      <c r="J18" s="33">
        <v>80</v>
      </c>
      <c r="K18" s="15">
        <v>5660</v>
      </c>
      <c r="L18" s="15"/>
      <c r="M18" s="33"/>
      <c r="N18" s="744">
        <f t="shared" si="1"/>
        <v>6240</v>
      </c>
      <c r="O18" s="810">
        <v>155</v>
      </c>
      <c r="P18" s="771">
        <v>22</v>
      </c>
      <c r="Q18" s="771">
        <v>5160</v>
      </c>
      <c r="R18" s="771"/>
      <c r="S18" s="771"/>
      <c r="T18" s="811">
        <f t="shared" si="2"/>
        <v>5337</v>
      </c>
      <c r="U18" s="173">
        <f t="shared" si="3"/>
        <v>0.8552884615384615</v>
      </c>
    </row>
    <row r="19" spans="1:21" ht="23.1" customHeight="1" x14ac:dyDescent="0.2">
      <c r="A19" s="330" t="s">
        <v>280</v>
      </c>
      <c r="B19" s="401" t="s">
        <v>345</v>
      </c>
      <c r="C19" s="33"/>
      <c r="D19" s="33"/>
      <c r="E19" s="15">
        <v>8800</v>
      </c>
      <c r="F19" s="15"/>
      <c r="G19" s="33"/>
      <c r="H19" s="12">
        <f t="shared" si="0"/>
        <v>8800</v>
      </c>
      <c r="I19" s="33"/>
      <c r="J19" s="33"/>
      <c r="K19" s="15">
        <v>8800</v>
      </c>
      <c r="L19" s="15"/>
      <c r="M19" s="33"/>
      <c r="N19" s="744">
        <f t="shared" si="1"/>
        <v>8800</v>
      </c>
      <c r="O19" s="810"/>
      <c r="P19" s="771"/>
      <c r="Q19" s="771">
        <v>8538</v>
      </c>
      <c r="R19" s="771"/>
      <c r="S19" s="771"/>
      <c r="T19" s="811">
        <f t="shared" si="2"/>
        <v>8538</v>
      </c>
      <c r="U19" s="173">
        <f t="shared" si="3"/>
        <v>0.97022727272727272</v>
      </c>
    </row>
    <row r="20" spans="1:21" ht="23.1" customHeight="1" x14ac:dyDescent="0.2">
      <c r="A20" s="330" t="s">
        <v>281</v>
      </c>
      <c r="B20" s="401" t="s">
        <v>27</v>
      </c>
      <c r="C20" s="33"/>
      <c r="D20" s="33"/>
      <c r="E20" s="15">
        <v>3500</v>
      </c>
      <c r="F20" s="15"/>
      <c r="G20" s="33"/>
      <c r="H20" s="12">
        <f t="shared" si="0"/>
        <v>3500</v>
      </c>
      <c r="I20" s="33"/>
      <c r="J20" s="33"/>
      <c r="K20" s="15">
        <v>3500</v>
      </c>
      <c r="L20" s="15"/>
      <c r="M20" s="33"/>
      <c r="N20" s="744">
        <f t="shared" si="1"/>
        <v>3500</v>
      </c>
      <c r="O20" s="810"/>
      <c r="P20" s="771"/>
      <c r="Q20" s="771">
        <v>3500</v>
      </c>
      <c r="R20" s="771"/>
      <c r="S20" s="771"/>
      <c r="T20" s="811">
        <f t="shared" si="2"/>
        <v>3500</v>
      </c>
      <c r="U20" s="173">
        <f t="shared" si="3"/>
        <v>1</v>
      </c>
    </row>
    <row r="21" spans="1:21" ht="23.1" customHeight="1" x14ac:dyDescent="0.2">
      <c r="A21" s="330" t="s">
        <v>282</v>
      </c>
      <c r="B21" s="401" t="s">
        <v>28</v>
      </c>
      <c r="C21" s="33"/>
      <c r="D21" s="33"/>
      <c r="E21" s="15">
        <v>2100</v>
      </c>
      <c r="F21" s="15"/>
      <c r="G21" s="33"/>
      <c r="H21" s="12">
        <f t="shared" si="0"/>
        <v>2100</v>
      </c>
      <c r="I21" s="33"/>
      <c r="J21" s="33"/>
      <c r="K21" s="15">
        <v>2100</v>
      </c>
      <c r="L21" s="15"/>
      <c r="M21" s="33"/>
      <c r="N21" s="744">
        <f t="shared" si="1"/>
        <v>2100</v>
      </c>
      <c r="O21" s="810"/>
      <c r="P21" s="771"/>
      <c r="Q21" s="771">
        <v>2100</v>
      </c>
      <c r="R21" s="771"/>
      <c r="S21" s="771"/>
      <c r="T21" s="811">
        <f t="shared" si="2"/>
        <v>2100</v>
      </c>
      <c r="U21" s="173">
        <f t="shared" si="3"/>
        <v>1</v>
      </c>
    </row>
    <row r="22" spans="1:21" ht="28.5" customHeight="1" x14ac:dyDescent="0.2">
      <c r="A22" s="330" t="s">
        <v>283</v>
      </c>
      <c r="B22" s="401" t="s">
        <v>656</v>
      </c>
      <c r="C22" s="33"/>
      <c r="D22" s="33"/>
      <c r="E22" s="15">
        <v>6500</v>
      </c>
      <c r="F22" s="15"/>
      <c r="G22" s="33"/>
      <c r="H22" s="12">
        <f t="shared" si="0"/>
        <v>6500</v>
      </c>
      <c r="I22" s="33"/>
      <c r="J22" s="33"/>
      <c r="K22" s="15">
        <v>6500</v>
      </c>
      <c r="L22" s="15"/>
      <c r="M22" s="33"/>
      <c r="N22" s="744">
        <f t="shared" si="1"/>
        <v>6500</v>
      </c>
      <c r="O22" s="810"/>
      <c r="P22" s="771"/>
      <c r="Q22" s="771">
        <v>5040</v>
      </c>
      <c r="R22" s="771"/>
      <c r="S22" s="771"/>
      <c r="T22" s="811">
        <f t="shared" si="2"/>
        <v>5040</v>
      </c>
      <c r="U22" s="173">
        <f t="shared" si="3"/>
        <v>0.77538461538461534</v>
      </c>
    </row>
    <row r="23" spans="1:21" ht="23.1" customHeight="1" x14ac:dyDescent="0.2">
      <c r="A23" s="330" t="s">
        <v>284</v>
      </c>
      <c r="B23" s="401" t="s">
        <v>32</v>
      </c>
      <c r="C23" s="33"/>
      <c r="D23" s="33"/>
      <c r="E23" s="15">
        <v>4000</v>
      </c>
      <c r="F23" s="15"/>
      <c r="G23" s="33"/>
      <c r="H23" s="12">
        <f t="shared" si="0"/>
        <v>4000</v>
      </c>
      <c r="I23" s="33"/>
      <c r="J23" s="33"/>
      <c r="K23" s="15">
        <v>4000</v>
      </c>
      <c r="L23" s="15"/>
      <c r="M23" s="33"/>
      <c r="N23" s="744">
        <f t="shared" si="1"/>
        <v>4000</v>
      </c>
      <c r="O23" s="810"/>
      <c r="P23" s="771"/>
      <c r="Q23" s="771">
        <v>4000</v>
      </c>
      <c r="R23" s="771"/>
      <c r="S23" s="771"/>
      <c r="T23" s="811">
        <f t="shared" si="2"/>
        <v>4000</v>
      </c>
      <c r="U23" s="173">
        <f t="shared" si="3"/>
        <v>1</v>
      </c>
    </row>
    <row r="24" spans="1:21" ht="23.1" customHeight="1" x14ac:dyDescent="0.2">
      <c r="A24" s="330" t="s">
        <v>290</v>
      </c>
      <c r="B24" s="401" t="s">
        <v>206</v>
      </c>
      <c r="C24" s="33"/>
      <c r="D24" s="33"/>
      <c r="E24" s="15">
        <v>1270</v>
      </c>
      <c r="F24" s="15"/>
      <c r="G24" s="33"/>
      <c r="H24" s="12">
        <f t="shared" si="0"/>
        <v>1270</v>
      </c>
      <c r="I24" s="33"/>
      <c r="J24" s="33"/>
      <c r="K24" s="15">
        <v>1270</v>
      </c>
      <c r="L24" s="15"/>
      <c r="M24" s="33"/>
      <c r="N24" s="744">
        <f t="shared" si="1"/>
        <v>1270</v>
      </c>
      <c r="O24" s="810"/>
      <c r="P24" s="771"/>
      <c r="Q24" s="771">
        <v>1270</v>
      </c>
      <c r="R24" s="771"/>
      <c r="S24" s="771"/>
      <c r="T24" s="811">
        <f t="shared" si="2"/>
        <v>1270</v>
      </c>
      <c r="U24" s="173">
        <f t="shared" si="3"/>
        <v>1</v>
      </c>
    </row>
    <row r="25" spans="1:21" ht="23.1" customHeight="1" x14ac:dyDescent="0.2">
      <c r="A25" s="330" t="s">
        <v>291</v>
      </c>
      <c r="B25" s="401" t="s">
        <v>44</v>
      </c>
      <c r="C25" s="33"/>
      <c r="D25" s="33"/>
      <c r="E25" s="15">
        <v>5800</v>
      </c>
      <c r="F25" s="15"/>
      <c r="G25" s="33"/>
      <c r="H25" s="12">
        <f t="shared" si="0"/>
        <v>5800</v>
      </c>
      <c r="I25" s="33"/>
      <c r="J25" s="33"/>
      <c r="K25" s="15">
        <v>5800</v>
      </c>
      <c r="L25" s="15"/>
      <c r="M25" s="33"/>
      <c r="N25" s="744">
        <f t="shared" si="1"/>
        <v>5800</v>
      </c>
      <c r="O25" s="810"/>
      <c r="P25" s="771"/>
      <c r="Q25" s="771">
        <v>5800</v>
      </c>
      <c r="R25" s="771"/>
      <c r="S25" s="771"/>
      <c r="T25" s="811">
        <f t="shared" si="2"/>
        <v>5800</v>
      </c>
      <c r="U25" s="173">
        <f t="shared" si="3"/>
        <v>1</v>
      </c>
    </row>
    <row r="26" spans="1:21" ht="30.75" customHeight="1" x14ac:dyDescent="0.2">
      <c r="A26" s="330" t="s">
        <v>292</v>
      </c>
      <c r="B26" s="322" t="s">
        <v>576</v>
      </c>
      <c r="C26" s="151"/>
      <c r="D26" s="33"/>
      <c r="E26" s="15">
        <v>3000</v>
      </c>
      <c r="F26" s="15"/>
      <c r="G26" s="33"/>
      <c r="H26" s="12">
        <f t="shared" si="0"/>
        <v>3000</v>
      </c>
      <c r="I26" s="33"/>
      <c r="J26" s="33"/>
      <c r="K26" s="15">
        <v>3000</v>
      </c>
      <c r="L26" s="15"/>
      <c r="M26" s="33"/>
      <c r="N26" s="744">
        <f t="shared" si="1"/>
        <v>3000</v>
      </c>
      <c r="O26" s="810"/>
      <c r="P26" s="771"/>
      <c r="Q26" s="771">
        <v>3000</v>
      </c>
      <c r="R26" s="771"/>
      <c r="S26" s="771"/>
      <c r="T26" s="811">
        <f t="shared" si="2"/>
        <v>3000</v>
      </c>
      <c r="U26" s="173">
        <f t="shared" si="3"/>
        <v>1</v>
      </c>
    </row>
    <row r="27" spans="1:21" ht="23.1" customHeight="1" x14ac:dyDescent="0.2">
      <c r="A27" s="330" t="s">
        <v>293</v>
      </c>
      <c r="B27" s="322" t="s">
        <v>359</v>
      </c>
      <c r="C27" s="151"/>
      <c r="D27" s="33"/>
      <c r="E27" s="15">
        <v>1000</v>
      </c>
      <c r="F27" s="15"/>
      <c r="G27" s="33"/>
      <c r="H27" s="12">
        <f t="shared" si="0"/>
        <v>1000</v>
      </c>
      <c r="I27" s="33"/>
      <c r="J27" s="33"/>
      <c r="K27" s="15">
        <v>1000</v>
      </c>
      <c r="L27" s="15"/>
      <c r="M27" s="33"/>
      <c r="N27" s="744">
        <f t="shared" si="1"/>
        <v>1000</v>
      </c>
      <c r="O27" s="810"/>
      <c r="P27" s="771"/>
      <c r="Q27" s="771">
        <v>1000</v>
      </c>
      <c r="R27" s="771"/>
      <c r="S27" s="771"/>
      <c r="T27" s="811">
        <f t="shared" si="2"/>
        <v>1000</v>
      </c>
      <c r="U27" s="173">
        <f t="shared" si="3"/>
        <v>1</v>
      </c>
    </row>
    <row r="28" spans="1:21" ht="23.1" customHeight="1" x14ac:dyDescent="0.2">
      <c r="A28" s="330" t="s">
        <v>294</v>
      </c>
      <c r="B28" s="322" t="s">
        <v>189</v>
      </c>
      <c r="C28" s="151"/>
      <c r="D28" s="33"/>
      <c r="E28" s="15">
        <v>1270</v>
      </c>
      <c r="F28" s="15"/>
      <c r="G28" s="33"/>
      <c r="H28" s="12">
        <f t="shared" si="0"/>
        <v>1270</v>
      </c>
      <c r="I28" s="33"/>
      <c r="J28" s="33"/>
      <c r="K28" s="15">
        <v>1270</v>
      </c>
      <c r="L28" s="15"/>
      <c r="M28" s="33"/>
      <c r="N28" s="744">
        <f t="shared" si="1"/>
        <v>1270</v>
      </c>
      <c r="O28" s="810"/>
      <c r="P28" s="771"/>
      <c r="Q28" s="771">
        <v>1270</v>
      </c>
      <c r="R28" s="771"/>
      <c r="S28" s="771"/>
      <c r="T28" s="811">
        <f t="shared" si="2"/>
        <v>1270</v>
      </c>
      <c r="U28" s="173">
        <f t="shared" si="3"/>
        <v>1</v>
      </c>
    </row>
    <row r="29" spans="1:21" ht="23.1" customHeight="1" x14ac:dyDescent="0.2">
      <c r="A29" s="330" t="s">
        <v>295</v>
      </c>
      <c r="B29" s="322" t="s">
        <v>238</v>
      </c>
      <c r="C29" s="151"/>
      <c r="D29" s="33"/>
      <c r="E29" s="15">
        <v>30000</v>
      </c>
      <c r="F29" s="15"/>
      <c r="G29" s="33"/>
      <c r="H29" s="12">
        <f t="shared" si="0"/>
        <v>30000</v>
      </c>
      <c r="I29" s="33"/>
      <c r="J29" s="33"/>
      <c r="K29" s="15">
        <v>45076</v>
      </c>
      <c r="L29" s="15"/>
      <c r="M29" s="33"/>
      <c r="N29" s="744">
        <f t="shared" si="1"/>
        <v>45076</v>
      </c>
      <c r="O29" s="810"/>
      <c r="P29" s="771"/>
      <c r="Q29" s="771">
        <v>45076</v>
      </c>
      <c r="R29" s="771"/>
      <c r="S29" s="771"/>
      <c r="T29" s="811">
        <f t="shared" si="2"/>
        <v>45076</v>
      </c>
      <c r="U29" s="173">
        <f t="shared" si="3"/>
        <v>1</v>
      </c>
    </row>
    <row r="30" spans="1:21" ht="23.1" customHeight="1" x14ac:dyDescent="0.2">
      <c r="A30" s="330" t="s">
        <v>296</v>
      </c>
      <c r="B30" s="322" t="s">
        <v>191</v>
      </c>
      <c r="C30" s="151"/>
      <c r="D30" s="33"/>
      <c r="E30" s="15">
        <v>5500</v>
      </c>
      <c r="F30" s="15"/>
      <c r="G30" s="33"/>
      <c r="H30" s="12">
        <f t="shared" si="0"/>
        <v>5500</v>
      </c>
      <c r="I30" s="33"/>
      <c r="J30" s="33"/>
      <c r="K30" s="15">
        <v>5500</v>
      </c>
      <c r="L30" s="15"/>
      <c r="M30" s="33"/>
      <c r="N30" s="744">
        <f t="shared" si="1"/>
        <v>5500</v>
      </c>
      <c r="O30" s="810"/>
      <c r="P30" s="771"/>
      <c r="Q30" s="771">
        <v>5283</v>
      </c>
      <c r="R30" s="771"/>
      <c r="S30" s="771"/>
      <c r="T30" s="811">
        <f t="shared" si="2"/>
        <v>5283</v>
      </c>
      <c r="U30" s="173">
        <f t="shared" si="3"/>
        <v>0.96054545454545459</v>
      </c>
    </row>
    <row r="31" spans="1:21" ht="23.1" customHeight="1" x14ac:dyDescent="0.2">
      <c r="A31" s="330" t="s">
        <v>297</v>
      </c>
      <c r="B31" s="401" t="s">
        <v>194</v>
      </c>
      <c r="C31" s="151"/>
      <c r="D31" s="33"/>
      <c r="E31" s="15">
        <v>1500</v>
      </c>
      <c r="F31" s="15"/>
      <c r="G31" s="33"/>
      <c r="H31" s="12">
        <f t="shared" si="0"/>
        <v>1500</v>
      </c>
      <c r="I31" s="33"/>
      <c r="J31" s="33"/>
      <c r="K31" s="15">
        <v>1500</v>
      </c>
      <c r="L31" s="15"/>
      <c r="M31" s="33"/>
      <c r="N31" s="744">
        <f t="shared" si="1"/>
        <v>1500</v>
      </c>
      <c r="O31" s="810"/>
      <c r="P31" s="771"/>
      <c r="Q31" s="771">
        <v>1500</v>
      </c>
      <c r="R31" s="771"/>
      <c r="S31" s="771"/>
      <c r="T31" s="811">
        <f t="shared" si="2"/>
        <v>1500</v>
      </c>
      <c r="U31" s="173">
        <f t="shared" si="3"/>
        <v>1</v>
      </c>
    </row>
    <row r="32" spans="1:21" ht="23.1" customHeight="1" x14ac:dyDescent="0.2">
      <c r="A32" s="330" t="s">
        <v>298</v>
      </c>
      <c r="B32" s="401" t="s">
        <v>239</v>
      </c>
      <c r="C32" s="151"/>
      <c r="D32" s="33"/>
      <c r="E32" s="15">
        <v>7000</v>
      </c>
      <c r="F32" s="15"/>
      <c r="G32" s="33"/>
      <c r="H32" s="12">
        <f t="shared" si="0"/>
        <v>7000</v>
      </c>
      <c r="I32" s="33"/>
      <c r="J32" s="33"/>
      <c r="K32" s="15">
        <v>7000</v>
      </c>
      <c r="L32" s="15"/>
      <c r="M32" s="33"/>
      <c r="N32" s="744">
        <f t="shared" si="1"/>
        <v>7000</v>
      </c>
      <c r="O32" s="810"/>
      <c r="P32" s="771"/>
      <c r="Q32" s="771">
        <v>7000</v>
      </c>
      <c r="R32" s="771"/>
      <c r="S32" s="771"/>
      <c r="T32" s="811">
        <f t="shared" si="2"/>
        <v>7000</v>
      </c>
      <c r="U32" s="173">
        <f t="shared" si="3"/>
        <v>1</v>
      </c>
    </row>
    <row r="33" spans="1:21" ht="23.1" customHeight="1" x14ac:dyDescent="0.2">
      <c r="A33" s="330" t="s">
        <v>299</v>
      </c>
      <c r="B33" s="401" t="s">
        <v>216</v>
      </c>
      <c r="C33" s="151"/>
      <c r="D33" s="33"/>
      <c r="E33" s="15">
        <v>7900</v>
      </c>
      <c r="F33" s="15"/>
      <c r="G33" s="33"/>
      <c r="H33" s="12">
        <f t="shared" si="0"/>
        <v>7900</v>
      </c>
      <c r="I33" s="33"/>
      <c r="J33" s="33"/>
      <c r="K33" s="15">
        <v>7900</v>
      </c>
      <c r="L33" s="15"/>
      <c r="M33" s="33"/>
      <c r="N33" s="744">
        <f t="shared" si="1"/>
        <v>7900</v>
      </c>
      <c r="O33" s="810"/>
      <c r="P33" s="771"/>
      <c r="Q33" s="771">
        <v>7900</v>
      </c>
      <c r="R33" s="771"/>
      <c r="S33" s="771"/>
      <c r="T33" s="811">
        <f t="shared" si="2"/>
        <v>7900</v>
      </c>
      <c r="U33" s="173">
        <f t="shared" si="3"/>
        <v>1</v>
      </c>
    </row>
    <row r="34" spans="1:21" ht="23.1" customHeight="1" x14ac:dyDescent="0.2">
      <c r="A34" s="330" t="s">
        <v>300</v>
      </c>
      <c r="B34" s="401" t="s">
        <v>349</v>
      </c>
      <c r="C34" s="151"/>
      <c r="D34" s="33"/>
      <c r="E34" s="15">
        <v>1000</v>
      </c>
      <c r="F34" s="15"/>
      <c r="G34" s="33"/>
      <c r="H34" s="12">
        <f t="shared" si="0"/>
        <v>1000</v>
      </c>
      <c r="I34" s="33"/>
      <c r="J34" s="33"/>
      <c r="K34" s="15">
        <v>500</v>
      </c>
      <c r="L34" s="15"/>
      <c r="M34" s="33"/>
      <c r="N34" s="744">
        <f t="shared" si="1"/>
        <v>500</v>
      </c>
      <c r="O34" s="810"/>
      <c r="P34" s="771"/>
      <c r="Q34" s="771">
        <v>413</v>
      </c>
      <c r="R34" s="771"/>
      <c r="S34" s="771"/>
      <c r="T34" s="811">
        <f t="shared" si="2"/>
        <v>413</v>
      </c>
      <c r="U34" s="173">
        <f t="shared" si="3"/>
        <v>0.82599999999999996</v>
      </c>
    </row>
    <row r="35" spans="1:21" ht="23.1" customHeight="1" x14ac:dyDescent="0.2">
      <c r="A35" s="330" t="s">
        <v>301</v>
      </c>
      <c r="B35" s="401" t="s">
        <v>346</v>
      </c>
      <c r="C35" s="151"/>
      <c r="D35" s="33"/>
      <c r="E35" s="15">
        <v>1100</v>
      </c>
      <c r="F35" s="15"/>
      <c r="G35" s="33"/>
      <c r="H35" s="12">
        <f t="shared" si="0"/>
        <v>1100</v>
      </c>
      <c r="I35" s="33"/>
      <c r="J35" s="33"/>
      <c r="K35" s="15">
        <v>1100</v>
      </c>
      <c r="L35" s="15"/>
      <c r="M35" s="33"/>
      <c r="N35" s="744">
        <f t="shared" si="1"/>
        <v>1100</v>
      </c>
      <c r="O35" s="810"/>
      <c r="P35" s="771"/>
      <c r="Q35" s="771">
        <v>1100</v>
      </c>
      <c r="R35" s="771"/>
      <c r="S35" s="771"/>
      <c r="T35" s="811">
        <f t="shared" si="2"/>
        <v>1100</v>
      </c>
      <c r="U35" s="173">
        <f t="shared" si="3"/>
        <v>1</v>
      </c>
    </row>
    <row r="36" spans="1:21" ht="23.1" customHeight="1" x14ac:dyDescent="0.2">
      <c r="A36" s="330" t="s">
        <v>302</v>
      </c>
      <c r="B36" s="401" t="s">
        <v>347</v>
      </c>
      <c r="C36" s="151"/>
      <c r="D36" s="33"/>
      <c r="E36" s="15">
        <v>4500</v>
      </c>
      <c r="F36" s="15"/>
      <c r="G36" s="33"/>
      <c r="H36" s="12">
        <f t="shared" si="0"/>
        <v>4500</v>
      </c>
      <c r="I36" s="33"/>
      <c r="J36" s="33"/>
      <c r="K36" s="15">
        <f>4500-4000</f>
        <v>500</v>
      </c>
      <c r="L36" s="15"/>
      <c r="M36" s="33"/>
      <c r="N36" s="744">
        <f t="shared" si="1"/>
        <v>500</v>
      </c>
      <c r="O36" s="810"/>
      <c r="P36" s="771"/>
      <c r="Q36" s="771">
        <v>500</v>
      </c>
      <c r="R36" s="771"/>
      <c r="S36" s="771"/>
      <c r="T36" s="811">
        <f t="shared" si="2"/>
        <v>500</v>
      </c>
      <c r="U36" s="173">
        <f t="shared" si="3"/>
        <v>1</v>
      </c>
    </row>
    <row r="37" spans="1:21" ht="23.1" customHeight="1" x14ac:dyDescent="0.2">
      <c r="A37" s="330" t="s">
        <v>303</v>
      </c>
      <c r="B37" s="401" t="s">
        <v>348</v>
      </c>
      <c r="C37" s="151"/>
      <c r="D37" s="33"/>
      <c r="E37" s="15">
        <v>4500</v>
      </c>
      <c r="F37" s="15"/>
      <c r="G37" s="33"/>
      <c r="H37" s="12">
        <f t="shared" si="0"/>
        <v>4500</v>
      </c>
      <c r="I37" s="33"/>
      <c r="J37" s="33"/>
      <c r="K37" s="15">
        <v>0</v>
      </c>
      <c r="L37" s="15"/>
      <c r="M37" s="33"/>
      <c r="N37" s="744">
        <f t="shared" si="1"/>
        <v>0</v>
      </c>
      <c r="O37" s="810"/>
      <c r="P37" s="771"/>
      <c r="Q37" s="771">
        <v>0</v>
      </c>
      <c r="R37" s="771"/>
      <c r="S37" s="771"/>
      <c r="T37" s="811">
        <f t="shared" si="2"/>
        <v>0</v>
      </c>
      <c r="U37" s="173">
        <v>0</v>
      </c>
    </row>
    <row r="38" spans="1:21" ht="23.1" customHeight="1" x14ac:dyDescent="0.2">
      <c r="A38" s="330" t="s">
        <v>304</v>
      </c>
      <c r="B38" s="401" t="s">
        <v>360</v>
      </c>
      <c r="C38" s="151"/>
      <c r="D38" s="33"/>
      <c r="E38" s="15">
        <v>1000</v>
      </c>
      <c r="F38" s="15"/>
      <c r="G38" s="33"/>
      <c r="H38" s="12">
        <f t="shared" si="0"/>
        <v>1000</v>
      </c>
      <c r="I38" s="33"/>
      <c r="J38" s="33"/>
      <c r="K38" s="15">
        <v>1000</v>
      </c>
      <c r="L38" s="15"/>
      <c r="M38" s="33"/>
      <c r="N38" s="744">
        <f t="shared" si="1"/>
        <v>1000</v>
      </c>
      <c r="O38" s="810"/>
      <c r="P38" s="771"/>
      <c r="Q38" s="771">
        <v>1000</v>
      </c>
      <c r="R38" s="771"/>
      <c r="S38" s="771"/>
      <c r="T38" s="811">
        <f t="shared" si="2"/>
        <v>1000</v>
      </c>
      <c r="U38" s="173">
        <f t="shared" si="3"/>
        <v>1</v>
      </c>
    </row>
    <row r="39" spans="1:21" ht="23.1" customHeight="1" x14ac:dyDescent="0.2">
      <c r="A39" s="330" t="s">
        <v>305</v>
      </c>
      <c r="B39" s="401" t="s">
        <v>361</v>
      </c>
      <c r="C39" s="151"/>
      <c r="D39" s="33"/>
      <c r="E39" s="15">
        <v>5000</v>
      </c>
      <c r="F39" s="15"/>
      <c r="G39" s="33"/>
      <c r="H39" s="12">
        <f t="shared" si="0"/>
        <v>5000</v>
      </c>
      <c r="I39" s="33"/>
      <c r="J39" s="33"/>
      <c r="K39" s="15">
        <v>5000</v>
      </c>
      <c r="L39" s="15"/>
      <c r="M39" s="33"/>
      <c r="N39" s="744">
        <f t="shared" si="1"/>
        <v>5000</v>
      </c>
      <c r="O39" s="810"/>
      <c r="P39" s="771"/>
      <c r="Q39" s="771">
        <v>5000</v>
      </c>
      <c r="R39" s="771"/>
      <c r="S39" s="771"/>
      <c r="T39" s="811">
        <f t="shared" si="2"/>
        <v>5000</v>
      </c>
      <c r="U39" s="173">
        <f t="shared" si="3"/>
        <v>1</v>
      </c>
    </row>
    <row r="40" spans="1:21" ht="23.1" customHeight="1" x14ac:dyDescent="0.2">
      <c r="A40" s="330" t="s">
        <v>306</v>
      </c>
      <c r="B40" s="401" t="s">
        <v>313</v>
      </c>
      <c r="C40" s="151"/>
      <c r="D40" s="33"/>
      <c r="E40" s="15">
        <v>1000</v>
      </c>
      <c r="F40" s="15"/>
      <c r="G40" s="33"/>
      <c r="H40" s="12">
        <f t="shared" si="0"/>
        <v>1000</v>
      </c>
      <c r="I40" s="33"/>
      <c r="J40" s="33"/>
      <c r="K40" s="15">
        <v>300</v>
      </c>
      <c r="L40" s="15"/>
      <c r="M40" s="33"/>
      <c r="N40" s="744">
        <f t="shared" si="1"/>
        <v>300</v>
      </c>
      <c r="O40" s="810"/>
      <c r="P40" s="771"/>
      <c r="Q40" s="771">
        <v>300</v>
      </c>
      <c r="R40" s="771"/>
      <c r="S40" s="771"/>
      <c r="T40" s="811">
        <f t="shared" si="2"/>
        <v>300</v>
      </c>
      <c r="U40" s="173">
        <f t="shared" si="3"/>
        <v>1</v>
      </c>
    </row>
    <row r="41" spans="1:21" ht="23.1" customHeight="1" x14ac:dyDescent="0.2">
      <c r="A41" s="330" t="s">
        <v>550</v>
      </c>
      <c r="B41" s="401" t="s">
        <v>344</v>
      </c>
      <c r="C41" s="151"/>
      <c r="D41" s="33"/>
      <c r="E41" s="15">
        <v>1500</v>
      </c>
      <c r="F41" s="15"/>
      <c r="G41" s="33"/>
      <c r="H41" s="12">
        <f t="shared" si="0"/>
        <v>1500</v>
      </c>
      <c r="I41" s="33"/>
      <c r="J41" s="33"/>
      <c r="K41" s="15">
        <v>1500</v>
      </c>
      <c r="L41" s="15"/>
      <c r="M41" s="33"/>
      <c r="N41" s="744">
        <f t="shared" si="1"/>
        <v>1500</v>
      </c>
      <c r="O41" s="810"/>
      <c r="P41" s="771"/>
      <c r="Q41" s="771">
        <v>1002</v>
      </c>
      <c r="R41" s="771"/>
      <c r="S41" s="771"/>
      <c r="T41" s="811">
        <f t="shared" si="2"/>
        <v>1002</v>
      </c>
      <c r="U41" s="173">
        <f t="shared" si="3"/>
        <v>0.66800000000000004</v>
      </c>
    </row>
    <row r="42" spans="1:21" ht="23.1" customHeight="1" x14ac:dyDescent="0.2">
      <c r="A42" s="330" t="s">
        <v>307</v>
      </c>
      <c r="B42" s="401" t="s">
        <v>350</v>
      </c>
      <c r="C42" s="151"/>
      <c r="D42" s="33"/>
      <c r="E42" s="15">
        <v>4000</v>
      </c>
      <c r="F42" s="15"/>
      <c r="G42" s="33"/>
      <c r="H42" s="12">
        <f t="shared" si="0"/>
        <v>4000</v>
      </c>
      <c r="I42" s="33"/>
      <c r="J42" s="33"/>
      <c r="K42" s="15">
        <v>4000</v>
      </c>
      <c r="L42" s="15"/>
      <c r="M42" s="33"/>
      <c r="N42" s="744">
        <f t="shared" si="1"/>
        <v>4000</v>
      </c>
      <c r="O42" s="810"/>
      <c r="P42" s="771"/>
      <c r="Q42" s="771">
        <v>0</v>
      </c>
      <c r="R42" s="771"/>
      <c r="S42" s="771"/>
      <c r="T42" s="811">
        <f t="shared" si="2"/>
        <v>0</v>
      </c>
      <c r="U42" s="173">
        <f t="shared" si="3"/>
        <v>0</v>
      </c>
    </row>
    <row r="43" spans="1:21" ht="23.1" customHeight="1" x14ac:dyDescent="0.2">
      <c r="A43" s="330" t="s">
        <v>352</v>
      </c>
      <c r="B43" s="401" t="s">
        <v>128</v>
      </c>
      <c r="C43" s="33"/>
      <c r="D43" s="33"/>
      <c r="E43" s="15">
        <v>8000</v>
      </c>
      <c r="F43" s="15"/>
      <c r="G43" s="33"/>
      <c r="H43" s="12">
        <f t="shared" si="0"/>
        <v>8000</v>
      </c>
      <c r="I43" s="33"/>
      <c r="J43" s="33"/>
      <c r="K43" s="15">
        <v>6000</v>
      </c>
      <c r="L43" s="15"/>
      <c r="M43" s="33"/>
      <c r="N43" s="744">
        <f t="shared" si="1"/>
        <v>6000</v>
      </c>
      <c r="O43" s="810"/>
      <c r="P43" s="771"/>
      <c r="Q43" s="771">
        <v>6000</v>
      </c>
      <c r="R43" s="771"/>
      <c r="S43" s="771"/>
      <c r="T43" s="811">
        <f t="shared" si="2"/>
        <v>6000</v>
      </c>
      <c r="U43" s="173">
        <f t="shared" si="3"/>
        <v>1</v>
      </c>
    </row>
    <row r="44" spans="1:21" ht="23.1" customHeight="1" x14ac:dyDescent="0.2">
      <c r="A44" s="330" t="s">
        <v>353</v>
      </c>
      <c r="B44" s="401" t="s">
        <v>373</v>
      </c>
      <c r="C44" s="151"/>
      <c r="D44" s="33"/>
      <c r="E44" s="15">
        <v>600</v>
      </c>
      <c r="F44" s="15"/>
      <c r="G44" s="33"/>
      <c r="H44" s="12">
        <f t="shared" si="0"/>
        <v>600</v>
      </c>
      <c r="I44" s="33"/>
      <c r="J44" s="33"/>
      <c r="K44" s="15">
        <v>600</v>
      </c>
      <c r="L44" s="15"/>
      <c r="M44" s="33"/>
      <c r="N44" s="744">
        <f t="shared" si="1"/>
        <v>600</v>
      </c>
      <c r="O44" s="810"/>
      <c r="P44" s="771"/>
      <c r="Q44" s="771">
        <v>84</v>
      </c>
      <c r="R44" s="771"/>
      <c r="S44" s="771"/>
      <c r="T44" s="811">
        <f t="shared" si="2"/>
        <v>84</v>
      </c>
      <c r="U44" s="173">
        <f t="shared" si="3"/>
        <v>0.14000000000000001</v>
      </c>
    </row>
    <row r="45" spans="1:21" ht="23.1" customHeight="1" x14ac:dyDescent="0.2">
      <c r="A45" s="330" t="s">
        <v>354</v>
      </c>
      <c r="B45" s="401" t="s">
        <v>473</v>
      </c>
      <c r="C45" s="151"/>
      <c r="D45" s="33"/>
      <c r="E45" s="15">
        <v>21525</v>
      </c>
      <c r="F45" s="15"/>
      <c r="G45" s="33"/>
      <c r="H45" s="12">
        <f t="shared" si="0"/>
        <v>21525</v>
      </c>
      <c r="I45" s="33"/>
      <c r="J45" s="33"/>
      <c r="K45" s="15">
        <f>21525-209</f>
        <v>21316</v>
      </c>
      <c r="L45" s="15"/>
      <c r="M45" s="33"/>
      <c r="N45" s="744">
        <f t="shared" si="1"/>
        <v>21316</v>
      </c>
      <c r="O45" s="810"/>
      <c r="P45" s="771"/>
      <c r="Q45" s="771">
        <v>19679</v>
      </c>
      <c r="R45" s="771"/>
      <c r="S45" s="771"/>
      <c r="T45" s="811">
        <f t="shared" si="2"/>
        <v>19679</v>
      </c>
      <c r="U45" s="173">
        <f t="shared" si="3"/>
        <v>0.92320322762244322</v>
      </c>
    </row>
    <row r="46" spans="1:21" ht="23.1" customHeight="1" x14ac:dyDescent="0.2">
      <c r="A46" s="330" t="s">
        <v>355</v>
      </c>
      <c r="B46" s="401" t="s">
        <v>379</v>
      </c>
      <c r="C46" s="151"/>
      <c r="D46" s="33"/>
      <c r="E46" s="15">
        <v>8000</v>
      </c>
      <c r="F46" s="15"/>
      <c r="G46" s="33"/>
      <c r="H46" s="12">
        <f t="shared" si="0"/>
        <v>8000</v>
      </c>
      <c r="I46" s="33"/>
      <c r="J46" s="33"/>
      <c r="K46" s="15">
        <v>8000</v>
      </c>
      <c r="L46" s="15"/>
      <c r="M46" s="33"/>
      <c r="N46" s="744">
        <f t="shared" si="1"/>
        <v>8000</v>
      </c>
      <c r="O46" s="810"/>
      <c r="P46" s="771"/>
      <c r="Q46" s="771">
        <v>7998</v>
      </c>
      <c r="R46" s="771"/>
      <c r="S46" s="771"/>
      <c r="T46" s="811">
        <f t="shared" si="2"/>
        <v>7998</v>
      </c>
      <c r="U46" s="173">
        <f t="shared" si="3"/>
        <v>0.99975000000000003</v>
      </c>
    </row>
    <row r="47" spans="1:21" ht="23.1" customHeight="1" x14ac:dyDescent="0.2">
      <c r="A47" s="330" t="s">
        <v>356</v>
      </c>
      <c r="B47" s="401" t="s">
        <v>390</v>
      </c>
      <c r="C47" s="151"/>
      <c r="D47" s="33"/>
      <c r="E47" s="15">
        <v>115</v>
      </c>
      <c r="F47" s="15"/>
      <c r="G47" s="33"/>
      <c r="H47" s="12">
        <f t="shared" si="0"/>
        <v>115</v>
      </c>
      <c r="I47" s="33"/>
      <c r="J47" s="33"/>
      <c r="K47" s="15">
        <v>115</v>
      </c>
      <c r="L47" s="15"/>
      <c r="M47" s="33"/>
      <c r="N47" s="744">
        <f t="shared" si="1"/>
        <v>115</v>
      </c>
      <c r="O47" s="810"/>
      <c r="P47" s="771"/>
      <c r="Q47" s="771">
        <v>14</v>
      </c>
      <c r="R47" s="771"/>
      <c r="S47" s="771"/>
      <c r="T47" s="811">
        <f t="shared" si="2"/>
        <v>14</v>
      </c>
      <c r="U47" s="173">
        <f t="shared" si="3"/>
        <v>0.12173913043478261</v>
      </c>
    </row>
    <row r="48" spans="1:21" ht="23.1" customHeight="1" x14ac:dyDescent="0.2">
      <c r="A48" s="342" t="s">
        <v>357</v>
      </c>
      <c r="B48" s="401" t="s">
        <v>516</v>
      </c>
      <c r="C48" s="151"/>
      <c r="D48" s="33"/>
      <c r="E48" s="15">
        <v>2650</v>
      </c>
      <c r="F48" s="15"/>
      <c r="G48" s="33"/>
      <c r="H48" s="12">
        <f t="shared" si="0"/>
        <v>2650</v>
      </c>
      <c r="I48" s="33"/>
      <c r="J48" s="33"/>
      <c r="K48" s="15">
        <v>2650</v>
      </c>
      <c r="L48" s="15"/>
      <c r="M48" s="33"/>
      <c r="N48" s="744">
        <f t="shared" si="1"/>
        <v>2650</v>
      </c>
      <c r="O48" s="810"/>
      <c r="P48" s="771"/>
      <c r="Q48" s="771">
        <f>566+444</f>
        <v>1010</v>
      </c>
      <c r="R48" s="771"/>
      <c r="S48" s="771"/>
      <c r="T48" s="811">
        <f t="shared" si="2"/>
        <v>1010</v>
      </c>
      <c r="U48" s="173">
        <f t="shared" si="3"/>
        <v>0.38113207547169814</v>
      </c>
    </row>
    <row r="49" spans="1:22" ht="23.1" customHeight="1" x14ac:dyDescent="0.2">
      <c r="A49" s="546" t="s">
        <v>358</v>
      </c>
      <c r="B49" s="547" t="s">
        <v>506</v>
      </c>
      <c r="C49" s="548"/>
      <c r="D49" s="549"/>
      <c r="E49" s="550">
        <v>16000</v>
      </c>
      <c r="F49" s="550"/>
      <c r="G49" s="549"/>
      <c r="H49" s="12">
        <f t="shared" si="0"/>
        <v>16000</v>
      </c>
      <c r="I49" s="549"/>
      <c r="J49" s="549"/>
      <c r="K49" s="15">
        <v>16000</v>
      </c>
      <c r="L49" s="550"/>
      <c r="M49" s="549"/>
      <c r="N49" s="744">
        <f t="shared" si="1"/>
        <v>16000</v>
      </c>
      <c r="O49" s="810"/>
      <c r="P49" s="771"/>
      <c r="Q49" s="771">
        <v>14788</v>
      </c>
      <c r="R49" s="771"/>
      <c r="S49" s="771"/>
      <c r="T49" s="811">
        <f t="shared" si="2"/>
        <v>14788</v>
      </c>
      <c r="U49" s="173">
        <f t="shared" si="3"/>
        <v>0.92425000000000002</v>
      </c>
    </row>
    <row r="50" spans="1:22" ht="23.1" customHeight="1" x14ac:dyDescent="0.2">
      <c r="A50" s="546" t="s">
        <v>457</v>
      </c>
      <c r="B50" s="547" t="s">
        <v>529</v>
      </c>
      <c r="C50" s="548"/>
      <c r="D50" s="549"/>
      <c r="E50" s="550">
        <v>13350</v>
      </c>
      <c r="F50" s="550"/>
      <c r="G50" s="549"/>
      <c r="H50" s="12">
        <f t="shared" si="0"/>
        <v>13350</v>
      </c>
      <c r="I50" s="549"/>
      <c r="J50" s="549"/>
      <c r="K50" s="15">
        <f>13350-4147-2700</f>
        <v>6503</v>
      </c>
      <c r="L50" s="550"/>
      <c r="M50" s="549"/>
      <c r="N50" s="744">
        <f t="shared" si="1"/>
        <v>6503</v>
      </c>
      <c r="O50" s="810"/>
      <c r="P50" s="771"/>
      <c r="Q50" s="771">
        <v>6233</v>
      </c>
      <c r="R50" s="771"/>
      <c r="S50" s="771"/>
      <c r="T50" s="811">
        <f t="shared" si="2"/>
        <v>6233</v>
      </c>
      <c r="U50" s="173">
        <f t="shared" si="3"/>
        <v>0.95848070121482398</v>
      </c>
    </row>
    <row r="51" spans="1:22" ht="23.1" customHeight="1" x14ac:dyDescent="0.2">
      <c r="A51" s="546" t="s">
        <v>481</v>
      </c>
      <c r="B51" s="547" t="s">
        <v>507</v>
      </c>
      <c r="C51" s="548"/>
      <c r="D51" s="549"/>
      <c r="E51" s="550">
        <v>2500</v>
      </c>
      <c r="F51" s="550"/>
      <c r="G51" s="549"/>
      <c r="H51" s="12">
        <f t="shared" si="0"/>
        <v>2500</v>
      </c>
      <c r="I51" s="549"/>
      <c r="J51" s="549"/>
      <c r="K51" s="15">
        <v>2500</v>
      </c>
      <c r="L51" s="550"/>
      <c r="M51" s="549"/>
      <c r="N51" s="744">
        <f t="shared" si="1"/>
        <v>2500</v>
      </c>
      <c r="O51" s="810"/>
      <c r="P51" s="771"/>
      <c r="Q51" s="771">
        <v>0</v>
      </c>
      <c r="R51" s="771"/>
      <c r="S51" s="771"/>
      <c r="T51" s="811">
        <f t="shared" si="2"/>
        <v>0</v>
      </c>
      <c r="U51" s="173">
        <f t="shared" si="3"/>
        <v>0</v>
      </c>
    </row>
    <row r="52" spans="1:22" ht="23.1" customHeight="1" x14ac:dyDescent="0.2">
      <c r="A52" s="546" t="s">
        <v>551</v>
      </c>
      <c r="B52" s="547" t="s">
        <v>523</v>
      </c>
      <c r="C52" s="548"/>
      <c r="D52" s="549"/>
      <c r="E52" s="550">
        <v>3000</v>
      </c>
      <c r="F52" s="550"/>
      <c r="G52" s="549"/>
      <c r="H52" s="12">
        <f t="shared" si="0"/>
        <v>3000</v>
      </c>
      <c r="I52" s="549"/>
      <c r="J52" s="549"/>
      <c r="K52" s="15">
        <v>3000</v>
      </c>
      <c r="L52" s="550"/>
      <c r="M52" s="549"/>
      <c r="N52" s="744">
        <f t="shared" si="1"/>
        <v>3000</v>
      </c>
      <c r="O52" s="810"/>
      <c r="P52" s="771"/>
      <c r="Q52" s="771">
        <v>0</v>
      </c>
      <c r="R52" s="771"/>
      <c r="S52" s="771"/>
      <c r="T52" s="811">
        <f t="shared" si="2"/>
        <v>0</v>
      </c>
      <c r="U52" s="173">
        <f t="shared" si="3"/>
        <v>0</v>
      </c>
    </row>
    <row r="53" spans="1:22" ht="23.1" customHeight="1" x14ac:dyDescent="0.2">
      <c r="A53" s="546" t="s">
        <v>552</v>
      </c>
      <c r="B53" s="547" t="s">
        <v>508</v>
      </c>
      <c r="C53" s="548"/>
      <c r="D53" s="549"/>
      <c r="E53" s="550">
        <v>3500</v>
      </c>
      <c r="F53" s="550"/>
      <c r="G53" s="549"/>
      <c r="H53" s="12">
        <f t="shared" si="0"/>
        <v>3500</v>
      </c>
      <c r="I53" s="549"/>
      <c r="J53" s="549"/>
      <c r="K53" s="15">
        <v>3500</v>
      </c>
      <c r="L53" s="550"/>
      <c r="M53" s="549"/>
      <c r="N53" s="744">
        <f t="shared" si="1"/>
        <v>3500</v>
      </c>
      <c r="O53" s="810"/>
      <c r="P53" s="771"/>
      <c r="Q53" s="771">
        <v>0</v>
      </c>
      <c r="R53" s="771"/>
      <c r="S53" s="771"/>
      <c r="T53" s="811">
        <f t="shared" si="2"/>
        <v>0</v>
      </c>
      <c r="U53" s="173">
        <f t="shared" si="3"/>
        <v>0</v>
      </c>
    </row>
    <row r="54" spans="1:22" ht="23.1" customHeight="1" x14ac:dyDescent="0.2">
      <c r="A54" s="546" t="s">
        <v>553</v>
      </c>
      <c r="B54" s="401" t="s">
        <v>545</v>
      </c>
      <c r="C54" s="151"/>
      <c r="D54" s="33"/>
      <c r="E54" s="15">
        <v>2000</v>
      </c>
      <c r="F54" s="15"/>
      <c r="G54" s="33"/>
      <c r="H54" s="12">
        <f t="shared" si="0"/>
        <v>2000</v>
      </c>
      <c r="I54" s="33"/>
      <c r="J54" s="33"/>
      <c r="K54" s="15">
        <v>0</v>
      </c>
      <c r="L54" s="15"/>
      <c r="M54" s="33"/>
      <c r="N54" s="744">
        <f t="shared" si="1"/>
        <v>0</v>
      </c>
      <c r="O54" s="810"/>
      <c r="P54" s="771"/>
      <c r="Q54" s="771">
        <v>0</v>
      </c>
      <c r="R54" s="771"/>
      <c r="S54" s="771"/>
      <c r="T54" s="811">
        <f t="shared" si="2"/>
        <v>0</v>
      </c>
      <c r="U54" s="173">
        <v>0</v>
      </c>
    </row>
    <row r="55" spans="1:22" ht="23.1" customHeight="1" x14ac:dyDescent="0.2">
      <c r="A55" s="546" t="s">
        <v>554</v>
      </c>
      <c r="B55" s="401" t="s">
        <v>657</v>
      </c>
      <c r="C55" s="151"/>
      <c r="D55" s="33"/>
      <c r="E55" s="15">
        <v>10000</v>
      </c>
      <c r="F55" s="15"/>
      <c r="G55" s="33"/>
      <c r="H55" s="12">
        <f t="shared" si="0"/>
        <v>10000</v>
      </c>
      <c r="I55" s="33"/>
      <c r="J55" s="33"/>
      <c r="K55" s="15">
        <f>10000+1870</f>
        <v>11870</v>
      </c>
      <c r="L55" s="15"/>
      <c r="M55" s="33"/>
      <c r="N55" s="744">
        <f t="shared" si="1"/>
        <v>11870</v>
      </c>
      <c r="O55" s="810"/>
      <c r="P55" s="771"/>
      <c r="Q55" s="771">
        <f>7409+4461</f>
        <v>11870</v>
      </c>
      <c r="R55" s="771"/>
      <c r="S55" s="771"/>
      <c r="T55" s="811">
        <f t="shared" si="2"/>
        <v>11870</v>
      </c>
      <c r="U55" s="173">
        <f t="shared" si="3"/>
        <v>1</v>
      </c>
    </row>
    <row r="56" spans="1:22" ht="23.1" customHeight="1" x14ac:dyDescent="0.2">
      <c r="A56" s="330"/>
      <c r="B56" s="399"/>
      <c r="C56" s="33"/>
      <c r="D56" s="33"/>
      <c r="E56" s="15"/>
      <c r="F56" s="15"/>
      <c r="G56" s="33"/>
      <c r="H56" s="12"/>
      <c r="I56" s="33"/>
      <c r="J56" s="33"/>
      <c r="K56" s="15"/>
      <c r="L56" s="15"/>
      <c r="M56" s="33"/>
      <c r="N56" s="744"/>
      <c r="O56" s="810"/>
      <c r="P56" s="771"/>
      <c r="Q56" s="771"/>
      <c r="R56" s="771"/>
      <c r="S56" s="771"/>
      <c r="T56" s="811"/>
      <c r="U56" s="173"/>
    </row>
    <row r="57" spans="1:22" ht="23.1" customHeight="1" x14ac:dyDescent="0.2">
      <c r="A57" s="342"/>
      <c r="B57" s="401"/>
      <c r="C57" s="151"/>
      <c r="D57" s="33"/>
      <c r="E57" s="15"/>
      <c r="F57" s="15"/>
      <c r="G57" s="33"/>
      <c r="H57" s="12"/>
      <c r="I57" s="33"/>
      <c r="J57" s="33"/>
      <c r="K57" s="15"/>
      <c r="L57" s="15"/>
      <c r="M57" s="33"/>
      <c r="N57" s="744"/>
      <c r="O57" s="810"/>
      <c r="P57" s="771"/>
      <c r="Q57" s="771"/>
      <c r="R57" s="771"/>
      <c r="S57" s="771"/>
      <c r="T57" s="811"/>
      <c r="U57" s="173"/>
    </row>
    <row r="58" spans="1:22" ht="23.1" customHeight="1" thickBot="1" x14ac:dyDescent="0.25">
      <c r="A58" s="342"/>
      <c r="B58" s="401"/>
      <c r="C58" s="33"/>
      <c r="D58" s="33"/>
      <c r="E58" s="15"/>
      <c r="F58" s="15"/>
      <c r="G58" s="33"/>
      <c r="H58" s="12"/>
      <c r="I58" s="33"/>
      <c r="J58" s="33"/>
      <c r="K58" s="15"/>
      <c r="L58" s="15"/>
      <c r="M58" s="33"/>
      <c r="N58" s="744"/>
      <c r="O58" s="810"/>
      <c r="P58" s="771"/>
      <c r="Q58" s="771"/>
      <c r="R58" s="771"/>
      <c r="S58" s="771"/>
      <c r="T58" s="811"/>
      <c r="U58" s="276"/>
    </row>
    <row r="59" spans="1:22" s="17" customFormat="1" ht="30.75" customHeight="1" thickBot="1" x14ac:dyDescent="0.25">
      <c r="A59" s="354"/>
      <c r="B59" s="402" t="s">
        <v>63</v>
      </c>
      <c r="C59" s="403">
        <f>SUM(C3:C58)</f>
        <v>0</v>
      </c>
      <c r="D59" s="404">
        <f>SUM(D3:D58)</f>
        <v>0</v>
      </c>
      <c r="E59" s="404">
        <f>SUM(E3:E58)</f>
        <v>690725</v>
      </c>
      <c r="F59" s="404">
        <f>SUM(F3:F58)</f>
        <v>0</v>
      </c>
      <c r="G59" s="404">
        <f>SUM(G3:G58)</f>
        <v>0</v>
      </c>
      <c r="H59" s="405">
        <f t="shared" ref="H59" si="4">SUM(C59:G59)</f>
        <v>690725</v>
      </c>
      <c r="I59" s="404">
        <f>SUM(I3:I58)</f>
        <v>500</v>
      </c>
      <c r="J59" s="404">
        <f>SUM(J3:J58)</f>
        <v>80</v>
      </c>
      <c r="K59" s="404">
        <f>SUM(K3:K58)</f>
        <v>713458</v>
      </c>
      <c r="L59" s="404">
        <f>SUM(L3:L58)</f>
        <v>0</v>
      </c>
      <c r="M59" s="404">
        <f>SUM(M3:M58)</f>
        <v>914</v>
      </c>
      <c r="N59" s="127">
        <f t="shared" ref="N59" si="5">SUM(I59:M59)</f>
        <v>714952</v>
      </c>
      <c r="O59" s="812">
        <f t="shared" ref="O59:T59" si="6">SUM(O3:O58)</f>
        <v>155</v>
      </c>
      <c r="P59" s="404">
        <f t="shared" si="6"/>
        <v>22</v>
      </c>
      <c r="Q59" s="406">
        <f t="shared" si="6"/>
        <v>639525</v>
      </c>
      <c r="R59" s="406">
        <f t="shared" si="6"/>
        <v>0</v>
      </c>
      <c r="S59" s="406">
        <f t="shared" si="6"/>
        <v>914</v>
      </c>
      <c r="T59" s="746">
        <f t="shared" si="6"/>
        <v>640616</v>
      </c>
      <c r="U59" s="188">
        <f>T59/N59</f>
        <v>0.89602658640020594</v>
      </c>
      <c r="V59" s="77"/>
    </row>
    <row r="60" spans="1:22" ht="13.5" thickTop="1" x14ac:dyDescent="0.2">
      <c r="T60" s="270"/>
    </row>
    <row r="61" spans="1:22" x14ac:dyDescent="0.2">
      <c r="T61" s="270"/>
    </row>
  </sheetData>
  <sortState ref="A3:U51">
    <sortCondition ref="A3"/>
  </sortState>
  <mergeCells count="5">
    <mergeCell ref="U1:U2"/>
    <mergeCell ref="A1:A2"/>
    <mergeCell ref="C1:H1"/>
    <mergeCell ref="I1:N1"/>
    <mergeCell ref="O1:T1"/>
  </mergeCells>
  <phoneticPr fontId="0" type="noConversion"/>
  <printOptions horizontalCentered="1"/>
  <pageMargins left="0.19685039370078741" right="0.15748031496062992" top="1.2204724409448819" bottom="0.47244094488188981" header="0.47244094488188981" footer="0.23622047244094491"/>
  <pageSetup paperSize="8" scale="51" orientation="portrait" r:id="rId1"/>
  <headerFooter alignWithMargins="0">
    <oddHeader>&amp;C&amp;"Times New Roman CE,Félkövér"&amp;18Városüzemeltetés&amp;"Times New Roman CE,Normál"
&amp;11/ ezer Ft &amp;18/&amp;R&amp;"Times New Roman,Normál"&amp;12 9. sz.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6">
    <pageSetUpPr fitToPage="1"/>
  </sheetPr>
  <dimension ref="A1:G25"/>
  <sheetViews>
    <sheetView topLeftCell="A7" zoomScale="130" zoomScaleNormal="130" workbookViewId="0">
      <selection activeCell="E12" sqref="E12"/>
    </sheetView>
  </sheetViews>
  <sheetFormatPr defaultColWidth="9.140625" defaultRowHeight="12.75" x14ac:dyDescent="0.2"/>
  <cols>
    <col min="1" max="1" width="8.7109375" style="353" customWidth="1"/>
    <col min="2" max="2" width="47.42578125" style="81" customWidth="1"/>
    <col min="3" max="4" width="12.7109375" style="81" customWidth="1"/>
    <col min="5" max="5" width="12.7109375" style="272" customWidth="1"/>
    <col min="6" max="6" width="9.28515625" style="81" customWidth="1"/>
    <col min="7" max="16384" width="9.140625" style="81"/>
  </cols>
  <sheetData>
    <row r="1" spans="1:7" ht="13.5" customHeight="1" thickTop="1" x14ac:dyDescent="0.2">
      <c r="A1" s="1277" t="s">
        <v>233</v>
      </c>
      <c r="B1" s="1281" t="s">
        <v>66</v>
      </c>
      <c r="C1" s="1283" t="s">
        <v>563</v>
      </c>
      <c r="D1" s="1283" t="s">
        <v>564</v>
      </c>
      <c r="E1" s="1285" t="s">
        <v>606</v>
      </c>
      <c r="F1" s="1279" t="s">
        <v>677</v>
      </c>
      <c r="G1" s="277"/>
    </row>
    <row r="2" spans="1:7" ht="32.25" customHeight="1" thickBot="1" x14ac:dyDescent="0.25">
      <c r="A2" s="1278"/>
      <c r="B2" s="1282"/>
      <c r="C2" s="1284"/>
      <c r="D2" s="1284"/>
      <c r="E2" s="1286"/>
      <c r="F2" s="1280"/>
      <c r="G2" s="278"/>
    </row>
    <row r="3" spans="1:7" s="82" customFormat="1" ht="21.95" customHeight="1" x14ac:dyDescent="0.2">
      <c r="A3" s="350"/>
      <c r="B3" s="409"/>
      <c r="C3" s="156"/>
      <c r="D3" s="156"/>
      <c r="E3" s="574"/>
      <c r="F3" s="408"/>
    </row>
    <row r="4" spans="1:7" ht="21.95" customHeight="1" x14ac:dyDescent="0.2">
      <c r="A4" s="350" t="s">
        <v>250</v>
      </c>
      <c r="B4" s="407" t="s">
        <v>29</v>
      </c>
      <c r="C4" s="154">
        <v>7000</v>
      </c>
      <c r="D4" s="154">
        <f>7000-2200</f>
        <v>4800</v>
      </c>
      <c r="E4" s="538">
        <v>4050</v>
      </c>
      <c r="F4" s="408">
        <f>E4/D4</f>
        <v>0.84375</v>
      </c>
      <c r="G4" s="279"/>
    </row>
    <row r="5" spans="1:7" ht="21.95" customHeight="1" x14ac:dyDescent="0.2">
      <c r="A5" s="350" t="s">
        <v>251</v>
      </c>
      <c r="B5" s="407" t="s">
        <v>496</v>
      </c>
      <c r="C5" s="154">
        <v>2200</v>
      </c>
      <c r="D5" s="154">
        <f>2200+116</f>
        <v>2316</v>
      </c>
      <c r="E5" s="538">
        <v>2316</v>
      </c>
      <c r="F5" s="408">
        <f t="shared" ref="F5:F21" si="0">E5/D5</f>
        <v>1</v>
      </c>
      <c r="G5" s="279"/>
    </row>
    <row r="6" spans="1:7" ht="21.95" customHeight="1" x14ac:dyDescent="0.2">
      <c r="A6" s="350" t="s">
        <v>252</v>
      </c>
      <c r="B6" s="407" t="s">
        <v>367</v>
      </c>
      <c r="C6" s="154">
        <v>7000</v>
      </c>
      <c r="D6" s="154">
        <v>7000</v>
      </c>
      <c r="E6" s="538">
        <v>5755</v>
      </c>
      <c r="F6" s="408">
        <f t="shared" si="0"/>
        <v>0.82214285714285718</v>
      </c>
      <c r="G6" s="279"/>
    </row>
    <row r="7" spans="1:7" ht="21.95" customHeight="1" x14ac:dyDescent="0.2">
      <c r="A7" s="350" t="s">
        <v>253</v>
      </c>
      <c r="B7" s="407" t="s">
        <v>215</v>
      </c>
      <c r="C7" s="154">
        <v>3000</v>
      </c>
      <c r="D7" s="154">
        <v>3000</v>
      </c>
      <c r="E7" s="538">
        <v>3100</v>
      </c>
      <c r="F7" s="408">
        <f t="shared" si="0"/>
        <v>1.0333333333333334</v>
      </c>
      <c r="G7" s="279"/>
    </row>
    <row r="8" spans="1:7" ht="21.95" customHeight="1" x14ac:dyDescent="0.2">
      <c r="A8" s="350" t="s">
        <v>267</v>
      </c>
      <c r="B8" s="407" t="s">
        <v>214</v>
      </c>
      <c r="C8" s="154">
        <v>3500</v>
      </c>
      <c r="D8" s="154">
        <v>3500</v>
      </c>
      <c r="E8" s="538">
        <v>3300</v>
      </c>
      <c r="F8" s="408">
        <f t="shared" si="0"/>
        <v>0.94285714285714284</v>
      </c>
      <c r="G8" s="279"/>
    </row>
    <row r="9" spans="1:7" ht="31.5" customHeight="1" x14ac:dyDescent="0.2">
      <c r="A9" s="350" t="s">
        <v>268</v>
      </c>
      <c r="B9" s="481" t="s">
        <v>443</v>
      </c>
      <c r="C9" s="154">
        <v>3000</v>
      </c>
      <c r="D9" s="154">
        <v>3000</v>
      </c>
      <c r="E9" s="538">
        <v>2175</v>
      </c>
      <c r="F9" s="408">
        <f t="shared" si="0"/>
        <v>0.72499999999999998</v>
      </c>
      <c r="G9" s="279"/>
    </row>
    <row r="10" spans="1:7" ht="21.95" customHeight="1" x14ac:dyDescent="0.2">
      <c r="A10" s="350" t="s">
        <v>269</v>
      </c>
      <c r="B10" s="407" t="s">
        <v>106</v>
      </c>
      <c r="C10" s="154">
        <v>3500</v>
      </c>
      <c r="D10" s="154">
        <f>3500-26</f>
        <v>3474</v>
      </c>
      <c r="E10" s="538">
        <f>3359-291</f>
        <v>3068</v>
      </c>
      <c r="F10" s="408">
        <f t="shared" si="0"/>
        <v>0.88313183649971216</v>
      </c>
      <c r="G10" s="279"/>
    </row>
    <row r="11" spans="1:7" ht="21.95" customHeight="1" x14ac:dyDescent="0.2">
      <c r="A11" s="350" t="s">
        <v>271</v>
      </c>
      <c r="B11" s="407" t="s">
        <v>394</v>
      </c>
      <c r="C11" s="154">
        <v>3026.35</v>
      </c>
      <c r="D11" s="154">
        <f>2973-1698-140-223</f>
        <v>912</v>
      </c>
      <c r="E11" s="538">
        <v>0</v>
      </c>
      <c r="F11" s="408">
        <f t="shared" si="0"/>
        <v>0</v>
      </c>
      <c r="G11" s="792"/>
    </row>
    <row r="12" spans="1:7" ht="21.95" customHeight="1" x14ac:dyDescent="0.2">
      <c r="A12" s="350" t="s">
        <v>272</v>
      </c>
      <c r="B12" s="407" t="s">
        <v>192</v>
      </c>
      <c r="C12" s="154">
        <v>4000</v>
      </c>
      <c r="D12" s="154">
        <v>4000</v>
      </c>
      <c r="E12" s="538">
        <v>2275</v>
      </c>
      <c r="F12" s="408">
        <f t="shared" si="0"/>
        <v>0.56874999999999998</v>
      </c>
      <c r="G12" s="279"/>
    </row>
    <row r="13" spans="1:7" ht="21.95" customHeight="1" x14ac:dyDescent="0.2">
      <c r="A13" s="350" t="s">
        <v>273</v>
      </c>
      <c r="B13" s="407" t="s">
        <v>172</v>
      </c>
      <c r="C13" s="154">
        <v>700</v>
      </c>
      <c r="D13" s="154">
        <v>700</v>
      </c>
      <c r="E13" s="538">
        <f>9+245</f>
        <v>254</v>
      </c>
      <c r="F13" s="408">
        <f t="shared" si="0"/>
        <v>0.36285714285714288</v>
      </c>
      <c r="G13" s="279"/>
    </row>
    <row r="14" spans="1:7" ht="21.95" customHeight="1" x14ac:dyDescent="0.2">
      <c r="A14" s="350" t="s">
        <v>274</v>
      </c>
      <c r="B14" s="407" t="s">
        <v>368</v>
      </c>
      <c r="C14" s="154">
        <v>35000</v>
      </c>
      <c r="D14" s="154">
        <v>35000</v>
      </c>
      <c r="E14" s="538">
        <v>25334</v>
      </c>
      <c r="F14" s="408">
        <f t="shared" si="0"/>
        <v>0.72382857142857138</v>
      </c>
      <c r="G14" s="279"/>
    </row>
    <row r="15" spans="1:7" ht="21.95" customHeight="1" x14ac:dyDescent="0.2">
      <c r="A15" s="350" t="s">
        <v>275</v>
      </c>
      <c r="B15" s="407" t="s">
        <v>369</v>
      </c>
      <c r="C15" s="154">
        <v>7500</v>
      </c>
      <c r="D15" s="154">
        <v>7500</v>
      </c>
      <c r="E15" s="538">
        <v>5406</v>
      </c>
      <c r="F15" s="408">
        <f t="shared" si="0"/>
        <v>0.7208</v>
      </c>
      <c r="G15" s="279"/>
    </row>
    <row r="16" spans="1:7" ht="21.95" customHeight="1" x14ac:dyDescent="0.2">
      <c r="A16" s="350" t="s">
        <v>276</v>
      </c>
      <c r="B16" s="407" t="s">
        <v>442</v>
      </c>
      <c r="C16" s="154">
        <v>3500</v>
      </c>
      <c r="D16" s="154">
        <f>3500-116</f>
        <v>3384</v>
      </c>
      <c r="E16" s="538">
        <v>2455</v>
      </c>
      <c r="F16" s="408">
        <f t="shared" si="0"/>
        <v>0.72547281323877066</v>
      </c>
      <c r="G16" s="279"/>
    </row>
    <row r="17" spans="1:7" ht="21.95" customHeight="1" x14ac:dyDescent="0.2">
      <c r="A17" s="350" t="s">
        <v>277</v>
      </c>
      <c r="B17" s="407" t="s">
        <v>370</v>
      </c>
      <c r="C17" s="154">
        <v>6000</v>
      </c>
      <c r="D17" s="154">
        <v>6000</v>
      </c>
      <c r="E17" s="538">
        <v>5802</v>
      </c>
      <c r="F17" s="408">
        <f t="shared" si="0"/>
        <v>0.96699999999999997</v>
      </c>
      <c r="G17" s="279"/>
    </row>
    <row r="18" spans="1:7" ht="21.95" customHeight="1" x14ac:dyDescent="0.2">
      <c r="A18" s="350" t="s">
        <v>278</v>
      </c>
      <c r="B18" s="407" t="s">
        <v>371</v>
      </c>
      <c r="C18" s="154">
        <v>2000</v>
      </c>
      <c r="D18" s="154">
        <f>2000-650</f>
        <v>1350</v>
      </c>
      <c r="E18" s="538">
        <v>0</v>
      </c>
      <c r="F18" s="408">
        <f t="shared" si="0"/>
        <v>0</v>
      </c>
      <c r="G18" s="279"/>
    </row>
    <row r="19" spans="1:7" ht="21.95" customHeight="1" x14ac:dyDescent="0.2">
      <c r="A19" s="351" t="s">
        <v>279</v>
      </c>
      <c r="B19" s="407" t="s">
        <v>395</v>
      </c>
      <c r="C19" s="154">
        <v>1500</v>
      </c>
      <c r="D19" s="154">
        <v>1500</v>
      </c>
      <c r="E19" s="538">
        <v>370</v>
      </c>
      <c r="F19" s="408">
        <f t="shared" si="0"/>
        <v>0.24666666666666667</v>
      </c>
      <c r="G19" s="279"/>
    </row>
    <row r="20" spans="1:7" ht="21.95" customHeight="1" x14ac:dyDescent="0.2">
      <c r="A20" s="351" t="s">
        <v>280</v>
      </c>
      <c r="B20" s="407" t="s">
        <v>590</v>
      </c>
      <c r="C20" s="154"/>
      <c r="D20" s="154">
        <v>165</v>
      </c>
      <c r="E20" s="538">
        <v>162</v>
      </c>
      <c r="F20" s="408">
        <f t="shared" si="0"/>
        <v>0.98181818181818181</v>
      </c>
      <c r="G20" s="279"/>
    </row>
    <row r="21" spans="1:7" ht="21.95" customHeight="1" x14ac:dyDescent="0.2">
      <c r="A21" s="351" t="s">
        <v>281</v>
      </c>
      <c r="B21" s="407" t="s">
        <v>654</v>
      </c>
      <c r="C21" s="154"/>
      <c r="D21" s="154">
        <f>2200+650</f>
        <v>2850</v>
      </c>
      <c r="E21" s="538">
        <v>2850</v>
      </c>
      <c r="F21" s="408">
        <f t="shared" si="0"/>
        <v>1</v>
      </c>
      <c r="G21" s="279"/>
    </row>
    <row r="22" spans="1:7" ht="21.95" customHeight="1" thickBot="1" x14ac:dyDescent="0.25">
      <c r="A22" s="351"/>
      <c r="B22" s="407"/>
      <c r="C22" s="154"/>
      <c r="D22" s="154"/>
      <c r="E22" s="538"/>
      <c r="F22" s="444"/>
      <c r="G22" s="279"/>
    </row>
    <row r="23" spans="1:7" s="82" customFormat="1" ht="21.95" customHeight="1" thickBot="1" x14ac:dyDescent="0.25">
      <c r="A23" s="352"/>
      <c r="B23" s="445" t="s">
        <v>167</v>
      </c>
      <c r="C23" s="446">
        <f>SUM(C4:C20)</f>
        <v>92426.35</v>
      </c>
      <c r="D23" s="446">
        <f>SUM(D4:D22)</f>
        <v>90451</v>
      </c>
      <c r="E23" s="1122">
        <f>SUM(E4:E21)</f>
        <v>68672</v>
      </c>
      <c r="F23" s="410">
        <f>E23/D23</f>
        <v>0.75921769798012184</v>
      </c>
    </row>
    <row r="24" spans="1:7" ht="13.5" thickTop="1" x14ac:dyDescent="0.2">
      <c r="B24" s="277"/>
      <c r="C24" s="277"/>
      <c r="D24" s="277"/>
      <c r="F24" s="278"/>
      <c r="G24" s="278"/>
    </row>
    <row r="25" spans="1:7" x14ac:dyDescent="0.2">
      <c r="B25" s="278"/>
      <c r="C25" s="278"/>
      <c r="D25" s="278"/>
      <c r="F25" s="278"/>
      <c r="G25" s="278"/>
    </row>
  </sheetData>
  <mergeCells count="6">
    <mergeCell ref="A1:A2"/>
    <mergeCell ref="F1:F2"/>
    <mergeCell ref="B1:B2"/>
    <mergeCell ref="C1:C2"/>
    <mergeCell ref="D1:D2"/>
    <mergeCell ref="E1:E2"/>
  </mergeCells>
  <phoneticPr fontId="6" type="noConversion"/>
  <printOptions horizontalCentered="1"/>
  <pageMargins left="0.49" right="0.56000000000000005" top="1.82" bottom="1.56" header="0.78" footer="1.06"/>
  <pageSetup paperSize="8" scale="90" orientation="portrait" blackAndWhite="1" r:id="rId1"/>
  <headerFooter alignWithMargins="0">
    <oddHeader>&amp;C&amp;"Times New Roman CE,Félkövér"&amp;16
Szociálpolitikai feladatok&amp;"Times New Roman CE,Normál"&amp;18
&amp;11/ ezer Ft /&amp;R&amp;"Times New Roman,Normál"&amp;12 10. sz. melléklet</oddHeader>
    <oddFooter xml:space="preserve">&amp;R
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F36"/>
  <sheetViews>
    <sheetView topLeftCell="A22" zoomScale="130" zoomScaleNormal="130" workbookViewId="0">
      <selection activeCell="E4" sqref="E4"/>
    </sheetView>
  </sheetViews>
  <sheetFormatPr defaultColWidth="8.85546875" defaultRowHeight="12.75" x14ac:dyDescent="0.2"/>
  <cols>
    <col min="1" max="1" width="9.140625" style="336" customWidth="1"/>
    <col min="2" max="2" width="59" style="41" customWidth="1"/>
    <col min="3" max="4" width="12.7109375" style="41" customWidth="1"/>
    <col min="5" max="5" width="12.7109375" style="207" customWidth="1"/>
    <col min="6" max="6" width="9.140625" style="41" customWidth="1"/>
    <col min="7" max="16384" width="8.85546875" style="41"/>
  </cols>
  <sheetData>
    <row r="1" spans="1:6" ht="19.5" thickTop="1" x14ac:dyDescent="0.2">
      <c r="A1" s="1290" t="s">
        <v>233</v>
      </c>
      <c r="B1" s="1218" t="s">
        <v>66</v>
      </c>
      <c r="C1" s="1288" t="s">
        <v>105</v>
      </c>
      <c r="D1" s="1254"/>
      <c r="E1" s="1254"/>
      <c r="F1" s="1222" t="s">
        <v>678</v>
      </c>
    </row>
    <row r="2" spans="1:6" ht="21" customHeight="1" thickBot="1" x14ac:dyDescent="0.25">
      <c r="A2" s="1291"/>
      <c r="B2" s="1287"/>
      <c r="C2" s="32" t="s">
        <v>561</v>
      </c>
      <c r="D2" s="11" t="s">
        <v>562</v>
      </c>
      <c r="E2" s="163" t="s">
        <v>606</v>
      </c>
      <c r="F2" s="1289"/>
    </row>
    <row r="3" spans="1:6" ht="23.1" customHeight="1" x14ac:dyDescent="0.2">
      <c r="A3" s="334" t="s">
        <v>258</v>
      </c>
      <c r="B3" s="324" t="s">
        <v>14</v>
      </c>
      <c r="C3" s="155">
        <v>98000</v>
      </c>
      <c r="D3" s="465">
        <v>0</v>
      </c>
      <c r="E3" s="562">
        <v>0</v>
      </c>
      <c r="F3" s="193">
        <v>0</v>
      </c>
    </row>
    <row r="4" spans="1:6" ht="23.1" customHeight="1" x14ac:dyDescent="0.2">
      <c r="A4" s="330" t="s">
        <v>259</v>
      </c>
      <c r="B4" s="324" t="s">
        <v>485</v>
      </c>
      <c r="C4" s="155">
        <v>2000</v>
      </c>
      <c r="D4" s="47">
        <v>2000</v>
      </c>
      <c r="E4" s="562">
        <v>0</v>
      </c>
      <c r="F4" s="173">
        <f>E4/D4</f>
        <v>0</v>
      </c>
    </row>
    <row r="5" spans="1:6" ht="23.1" customHeight="1" x14ac:dyDescent="0.2">
      <c r="A5" s="330" t="s">
        <v>403</v>
      </c>
      <c r="B5" s="324" t="s">
        <v>469</v>
      </c>
      <c r="C5" s="155">
        <v>14000</v>
      </c>
      <c r="D5" s="47">
        <v>14000</v>
      </c>
      <c r="E5" s="562">
        <v>13500</v>
      </c>
      <c r="F5" s="173">
        <f t="shared" ref="F5:F7" si="0">E5/D5</f>
        <v>0.9642857142857143</v>
      </c>
    </row>
    <row r="6" spans="1:6" ht="23.1" customHeight="1" x14ac:dyDescent="0.2">
      <c r="A6" s="546" t="s">
        <v>426</v>
      </c>
      <c r="B6" s="539" t="s">
        <v>560</v>
      </c>
      <c r="C6" s="538">
        <v>29000</v>
      </c>
      <c r="D6" s="47">
        <f>29000-6000-3500-2650-710</f>
        <v>16140</v>
      </c>
      <c r="E6" s="538">
        <v>0</v>
      </c>
      <c r="F6" s="173">
        <f t="shared" si="0"/>
        <v>0</v>
      </c>
    </row>
    <row r="7" spans="1:6" ht="23.1" customHeight="1" x14ac:dyDescent="0.2">
      <c r="A7" s="330" t="s">
        <v>427</v>
      </c>
      <c r="B7" s="324" t="s">
        <v>476</v>
      </c>
      <c r="C7" s="155"/>
      <c r="D7" s="47">
        <v>20000</v>
      </c>
      <c r="E7" s="562">
        <v>0</v>
      </c>
      <c r="F7" s="173">
        <f t="shared" si="0"/>
        <v>0</v>
      </c>
    </row>
    <row r="8" spans="1:6" ht="23.1" customHeight="1" x14ac:dyDescent="0.2">
      <c r="A8" s="330"/>
      <c r="B8" s="324"/>
      <c r="C8" s="155"/>
      <c r="D8" s="47"/>
      <c r="E8" s="562"/>
      <c r="F8" s="173"/>
    </row>
    <row r="9" spans="1:6" ht="23.1" customHeight="1" thickBot="1" x14ac:dyDescent="0.25">
      <c r="A9" s="342"/>
      <c r="B9" s="324"/>
      <c r="C9" s="29"/>
      <c r="D9" s="154"/>
      <c r="E9" s="538"/>
      <c r="F9" s="276"/>
    </row>
    <row r="10" spans="1:6" s="77" customFormat="1" ht="23.1" customHeight="1" thickBot="1" x14ac:dyDescent="0.25">
      <c r="A10" s="333"/>
      <c r="B10" s="531" t="s">
        <v>20</v>
      </c>
      <c r="C10" s="532">
        <f>SUM(C3:C9)</f>
        <v>143000</v>
      </c>
      <c r="D10" s="533">
        <f>SUM(D3:D9)</f>
        <v>52140</v>
      </c>
      <c r="E10" s="534">
        <f>SUM(E3:E9)</f>
        <v>13500</v>
      </c>
      <c r="F10" s="194">
        <f>E10/D10</f>
        <v>0.25891829689298046</v>
      </c>
    </row>
    <row r="11" spans="1:6" s="725" customFormat="1" ht="23.1" customHeight="1" x14ac:dyDescent="0.2">
      <c r="A11" s="724"/>
      <c r="B11" s="527"/>
      <c r="C11" s="528"/>
      <c r="D11" s="529"/>
      <c r="E11" s="530"/>
      <c r="F11" s="187"/>
    </row>
    <row r="12" spans="1:6" ht="23.1" customHeight="1" x14ac:dyDescent="0.2">
      <c r="A12" s="330" t="s">
        <v>254</v>
      </c>
      <c r="B12" s="324" t="s">
        <v>219</v>
      </c>
      <c r="C12" s="155">
        <v>8000</v>
      </c>
      <c r="D12" s="47">
        <v>8000</v>
      </c>
      <c r="E12" s="562">
        <v>8000</v>
      </c>
      <c r="F12" s="173">
        <f>E12/D12</f>
        <v>1</v>
      </c>
    </row>
    <row r="13" spans="1:6" ht="23.1" customHeight="1" x14ac:dyDescent="0.2">
      <c r="A13" s="693" t="s">
        <v>630</v>
      </c>
      <c r="B13" s="689" t="s">
        <v>626</v>
      </c>
      <c r="C13" s="562"/>
      <c r="D13" s="666">
        <v>6000</v>
      </c>
      <c r="E13" s="562">
        <v>6000</v>
      </c>
      <c r="F13" s="173">
        <f t="shared" ref="F13:F32" si="1">E13/D13</f>
        <v>1</v>
      </c>
    </row>
    <row r="14" spans="1:6" ht="23.1" customHeight="1" x14ac:dyDescent="0.2">
      <c r="A14" s="693" t="s">
        <v>631</v>
      </c>
      <c r="B14" s="689" t="s">
        <v>627</v>
      </c>
      <c r="C14" s="562"/>
      <c r="D14" s="666">
        <v>3500</v>
      </c>
      <c r="E14" s="562">
        <v>3500</v>
      </c>
      <c r="F14" s="173">
        <f t="shared" si="1"/>
        <v>1</v>
      </c>
    </row>
    <row r="15" spans="1:6" ht="23.1" customHeight="1" x14ac:dyDescent="0.2">
      <c r="A15" s="693" t="s">
        <v>632</v>
      </c>
      <c r="B15" s="689" t="s">
        <v>628</v>
      </c>
      <c r="C15" s="562"/>
      <c r="D15" s="666">
        <v>2650</v>
      </c>
      <c r="E15" s="562">
        <v>2650</v>
      </c>
      <c r="F15" s="173">
        <f t="shared" si="1"/>
        <v>1</v>
      </c>
    </row>
    <row r="16" spans="1:6" ht="23.1" customHeight="1" x14ac:dyDescent="0.2">
      <c r="A16" s="693" t="s">
        <v>633</v>
      </c>
      <c r="B16" s="689" t="s">
        <v>629</v>
      </c>
      <c r="C16" s="562"/>
      <c r="D16" s="666">
        <v>710</v>
      </c>
      <c r="E16" s="562">
        <v>710</v>
      </c>
      <c r="F16" s="173">
        <f t="shared" si="1"/>
        <v>1</v>
      </c>
    </row>
    <row r="17" spans="1:6" ht="23.1" customHeight="1" x14ac:dyDescent="0.2">
      <c r="A17" s="330" t="s">
        <v>255</v>
      </c>
      <c r="B17" s="324" t="s">
        <v>37</v>
      </c>
      <c r="C17" s="155">
        <v>100725</v>
      </c>
      <c r="D17" s="47">
        <f>115368+604</f>
        <v>115972</v>
      </c>
      <c r="E17" s="562">
        <v>115972</v>
      </c>
      <c r="F17" s="173">
        <f t="shared" si="1"/>
        <v>1</v>
      </c>
    </row>
    <row r="18" spans="1:6" ht="23.1" customHeight="1" x14ac:dyDescent="0.2">
      <c r="A18" s="330" t="s">
        <v>256</v>
      </c>
      <c r="B18" s="324" t="s">
        <v>392</v>
      </c>
      <c r="C18" s="153">
        <v>190794.23199999999</v>
      </c>
      <c r="D18" s="47">
        <f>216832+21243+206-4443+123+10434+5182+48</f>
        <v>249625</v>
      </c>
      <c r="E18" s="1121">
        <v>249624</v>
      </c>
      <c r="F18" s="173">
        <f t="shared" si="1"/>
        <v>0.99999599399098649</v>
      </c>
    </row>
    <row r="19" spans="1:6" ht="23.1" customHeight="1" x14ac:dyDescent="0.2">
      <c r="A19" s="330" t="s">
        <v>257</v>
      </c>
      <c r="B19" s="324" t="s">
        <v>240</v>
      </c>
      <c r="C19" s="155">
        <v>31000</v>
      </c>
      <c r="D19" s="47">
        <v>31000</v>
      </c>
      <c r="E19" s="562">
        <v>31000</v>
      </c>
      <c r="F19" s="173">
        <f t="shared" si="1"/>
        <v>1</v>
      </c>
    </row>
    <row r="20" spans="1:6" ht="23.1" customHeight="1" x14ac:dyDescent="0.2">
      <c r="A20" s="330" t="s">
        <v>308</v>
      </c>
      <c r="B20" s="324" t="s">
        <v>241</v>
      </c>
      <c r="C20" s="155">
        <v>6000</v>
      </c>
      <c r="D20" s="47">
        <v>6000</v>
      </c>
      <c r="E20" s="562">
        <v>6000</v>
      </c>
      <c r="F20" s="173">
        <f t="shared" si="1"/>
        <v>1</v>
      </c>
    </row>
    <row r="21" spans="1:6" ht="23.1" customHeight="1" x14ac:dyDescent="0.2">
      <c r="A21" s="330" t="s">
        <v>309</v>
      </c>
      <c r="B21" s="324" t="s">
        <v>196</v>
      </c>
      <c r="C21" s="155">
        <v>2000</v>
      </c>
      <c r="D21" s="47">
        <v>2000</v>
      </c>
      <c r="E21" s="562">
        <v>2000</v>
      </c>
      <c r="F21" s="173">
        <f t="shared" si="1"/>
        <v>1</v>
      </c>
    </row>
    <row r="22" spans="1:6" ht="23.1" customHeight="1" x14ac:dyDescent="0.2">
      <c r="A22" s="330" t="s">
        <v>310</v>
      </c>
      <c r="B22" s="324" t="s">
        <v>200</v>
      </c>
      <c r="C22" s="155">
        <v>1500</v>
      </c>
      <c r="D22" s="47">
        <v>1500</v>
      </c>
      <c r="E22" s="562">
        <v>1500</v>
      </c>
      <c r="F22" s="173">
        <f t="shared" si="1"/>
        <v>1</v>
      </c>
    </row>
    <row r="23" spans="1:6" ht="23.1" customHeight="1" x14ac:dyDescent="0.2">
      <c r="A23" s="330" t="s">
        <v>311</v>
      </c>
      <c r="B23" s="324" t="s">
        <v>242</v>
      </c>
      <c r="C23" s="155">
        <v>300</v>
      </c>
      <c r="D23" s="47">
        <v>300</v>
      </c>
      <c r="E23" s="562">
        <v>300</v>
      </c>
      <c r="F23" s="173">
        <f t="shared" si="1"/>
        <v>1</v>
      </c>
    </row>
    <row r="24" spans="1:6" ht="23.1" customHeight="1" x14ac:dyDescent="0.2">
      <c r="A24" s="330" t="s">
        <v>312</v>
      </c>
      <c r="B24" s="324" t="s">
        <v>396</v>
      </c>
      <c r="C24" s="155">
        <v>2300</v>
      </c>
      <c r="D24" s="47">
        <v>2300</v>
      </c>
      <c r="E24" s="562">
        <v>2300</v>
      </c>
      <c r="F24" s="173">
        <f t="shared" si="1"/>
        <v>1</v>
      </c>
    </row>
    <row r="25" spans="1:6" ht="23.1" customHeight="1" x14ac:dyDescent="0.2">
      <c r="A25" s="330" t="s">
        <v>391</v>
      </c>
      <c r="B25" s="324" t="s">
        <v>378</v>
      </c>
      <c r="C25" s="155">
        <v>1000</v>
      </c>
      <c r="D25" s="47">
        <v>1000</v>
      </c>
      <c r="E25" s="562">
        <v>1000</v>
      </c>
      <c r="F25" s="173">
        <f t="shared" si="1"/>
        <v>1</v>
      </c>
    </row>
    <row r="26" spans="1:6" ht="23.1" customHeight="1" x14ac:dyDescent="0.2">
      <c r="A26" s="330" t="s">
        <v>406</v>
      </c>
      <c r="B26" s="324" t="s">
        <v>405</v>
      </c>
      <c r="C26" s="155">
        <v>600</v>
      </c>
      <c r="D26" s="47">
        <v>600</v>
      </c>
      <c r="E26" s="562">
        <v>600</v>
      </c>
      <c r="F26" s="173">
        <f t="shared" si="1"/>
        <v>1</v>
      </c>
    </row>
    <row r="27" spans="1:6" ht="23.1" customHeight="1" x14ac:dyDescent="0.2">
      <c r="A27" s="330" t="s">
        <v>407</v>
      </c>
      <c r="B27" s="539" t="s">
        <v>530</v>
      </c>
      <c r="C27" s="562">
        <v>5000</v>
      </c>
      <c r="D27" s="47">
        <f>5000-1698</f>
        <v>3302</v>
      </c>
      <c r="E27" s="562">
        <v>3302</v>
      </c>
      <c r="F27" s="173">
        <f t="shared" si="1"/>
        <v>1</v>
      </c>
    </row>
    <row r="28" spans="1:6" ht="23.1" customHeight="1" x14ac:dyDescent="0.2">
      <c r="A28" s="330" t="s">
        <v>409</v>
      </c>
      <c r="B28" s="324" t="s">
        <v>433</v>
      </c>
      <c r="C28" s="155">
        <v>1200</v>
      </c>
      <c r="D28" s="47">
        <v>1200</v>
      </c>
      <c r="E28" s="562">
        <v>1185</v>
      </c>
      <c r="F28" s="173">
        <f t="shared" si="1"/>
        <v>0.98750000000000004</v>
      </c>
    </row>
    <row r="29" spans="1:6" ht="23.1" customHeight="1" x14ac:dyDescent="0.2">
      <c r="A29" s="330" t="s">
        <v>459</v>
      </c>
      <c r="B29" s="324" t="s">
        <v>467</v>
      </c>
      <c r="C29" s="155">
        <v>1000</v>
      </c>
      <c r="D29" s="47">
        <v>1000</v>
      </c>
      <c r="E29" s="562">
        <v>1000</v>
      </c>
      <c r="F29" s="173">
        <f t="shared" si="1"/>
        <v>1</v>
      </c>
    </row>
    <row r="30" spans="1:6" ht="23.1" customHeight="1" x14ac:dyDescent="0.2">
      <c r="A30" s="330" t="s">
        <v>482</v>
      </c>
      <c r="B30" s="324" t="s">
        <v>458</v>
      </c>
      <c r="C30" s="155">
        <v>10000</v>
      </c>
      <c r="D30" s="47">
        <v>3000</v>
      </c>
      <c r="E30" s="562">
        <v>3000</v>
      </c>
      <c r="F30" s="173">
        <f t="shared" si="1"/>
        <v>1</v>
      </c>
    </row>
    <row r="31" spans="1:6" ht="23.1" customHeight="1" x14ac:dyDescent="0.2">
      <c r="A31" s="330" t="s">
        <v>483</v>
      </c>
      <c r="B31" s="324" t="s">
        <v>468</v>
      </c>
      <c r="C31" s="155">
        <v>300</v>
      </c>
      <c r="D31" s="47">
        <v>300</v>
      </c>
      <c r="E31" s="562">
        <v>0</v>
      </c>
      <c r="F31" s="173">
        <f t="shared" si="1"/>
        <v>0</v>
      </c>
    </row>
    <row r="32" spans="1:6" ht="23.1" customHeight="1" x14ac:dyDescent="0.2">
      <c r="A32" s="330" t="s">
        <v>555</v>
      </c>
      <c r="B32" s="324" t="s">
        <v>474</v>
      </c>
      <c r="C32" s="155">
        <v>12000</v>
      </c>
      <c r="D32" s="47">
        <v>12000</v>
      </c>
      <c r="E32" s="562">
        <v>12000</v>
      </c>
      <c r="F32" s="173">
        <f t="shared" si="1"/>
        <v>1</v>
      </c>
    </row>
    <row r="33" spans="1:6" ht="23.1" customHeight="1" x14ac:dyDescent="0.2">
      <c r="A33" s="330"/>
      <c r="B33" s="324"/>
      <c r="C33" s="155"/>
      <c r="D33" s="47"/>
      <c r="E33" s="562"/>
      <c r="F33" s="173"/>
    </row>
    <row r="34" spans="1:6" ht="23.1" customHeight="1" thickBot="1" x14ac:dyDescent="0.25">
      <c r="A34" s="342"/>
      <c r="B34" s="324"/>
      <c r="C34" s="29"/>
      <c r="D34" s="154"/>
      <c r="E34" s="538"/>
      <c r="F34" s="276"/>
    </row>
    <row r="35" spans="1:6" s="77" customFormat="1" ht="23.1" customHeight="1" thickBot="1" x14ac:dyDescent="0.25">
      <c r="A35" s="354"/>
      <c r="B35" s="535" t="s">
        <v>21</v>
      </c>
      <c r="C35" s="536">
        <f>SUM(C12:C34)</f>
        <v>373719.23199999996</v>
      </c>
      <c r="D35" s="536">
        <f>SUM(D12:D34)</f>
        <v>451959</v>
      </c>
      <c r="E35" s="740">
        <f>SUM(E12:E34)</f>
        <v>451643</v>
      </c>
      <c r="F35" s="188">
        <f>E35/D35</f>
        <v>0.99930082153469668</v>
      </c>
    </row>
    <row r="36" spans="1:6" ht="13.5" thickTop="1" x14ac:dyDescent="0.2"/>
  </sheetData>
  <mergeCells count="4">
    <mergeCell ref="B1:B2"/>
    <mergeCell ref="C1:E1"/>
    <mergeCell ref="F1:F2"/>
    <mergeCell ref="A1:A2"/>
  </mergeCells>
  <phoneticPr fontId="0" type="noConversion"/>
  <printOptions horizontalCentered="1"/>
  <pageMargins left="0.63" right="0.6" top="2.14" bottom="0.72" header="0.91" footer="1.19"/>
  <pageSetup paperSize="8" scale="79" orientation="portrait" r:id="rId1"/>
  <headerFooter alignWithMargins="0">
    <oddHeader>&amp;C&amp;"Times New Roman CE,Félkövér"&amp;16 Egyéb kiadások
/Átadott pénzeszközök/
&amp;"Times New Roman CE,Normál"&amp;10
&amp;11/ezer Ft/&amp;R&amp;"Times New Roman,Normál"&amp;12 11. sz. 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G42"/>
  <sheetViews>
    <sheetView topLeftCell="A22" zoomScale="130" zoomScaleNormal="130" workbookViewId="0">
      <selection activeCell="E28" sqref="E28"/>
    </sheetView>
  </sheetViews>
  <sheetFormatPr defaultColWidth="8.85546875" defaultRowHeight="12.75" x14ac:dyDescent="0.2"/>
  <cols>
    <col min="1" max="1" width="9.140625" style="336" customWidth="1"/>
    <col min="2" max="2" width="64.28515625" style="41" customWidth="1"/>
    <col min="3" max="4" width="12.7109375" style="41" customWidth="1"/>
    <col min="5" max="5" width="12.7109375" style="207" customWidth="1"/>
    <col min="6" max="6" width="9.28515625" style="41" customWidth="1"/>
    <col min="7" max="7" width="9.140625" style="1135" customWidth="1"/>
    <col min="8" max="16384" width="8.85546875" style="41"/>
  </cols>
  <sheetData>
    <row r="1" spans="1:6" ht="19.5" thickTop="1" x14ac:dyDescent="0.2">
      <c r="A1" s="1293" t="s">
        <v>233</v>
      </c>
      <c r="B1" s="1226" t="s">
        <v>66</v>
      </c>
      <c r="C1" s="1292" t="s">
        <v>104</v>
      </c>
      <c r="D1" s="1259"/>
      <c r="E1" s="1259"/>
      <c r="F1" s="1222" t="s">
        <v>677</v>
      </c>
    </row>
    <row r="2" spans="1:6" ht="20.25" customHeight="1" thickBot="1" x14ac:dyDescent="0.25">
      <c r="A2" s="1294"/>
      <c r="B2" s="1287"/>
      <c r="C2" s="265" t="s">
        <v>561</v>
      </c>
      <c r="D2" s="741" t="s">
        <v>562</v>
      </c>
      <c r="E2" s="773" t="s">
        <v>606</v>
      </c>
      <c r="F2" s="1289"/>
    </row>
    <row r="3" spans="1:6" ht="18" customHeight="1" x14ac:dyDescent="0.2">
      <c r="A3" s="332" t="s">
        <v>250</v>
      </c>
      <c r="B3" s="399" t="s">
        <v>243</v>
      </c>
      <c r="C3" s="15">
        <v>1000</v>
      </c>
      <c r="D3" s="742">
        <v>1000</v>
      </c>
      <c r="E3" s="806">
        <v>628</v>
      </c>
      <c r="F3" s="173">
        <f>E3/D3</f>
        <v>0.628</v>
      </c>
    </row>
    <row r="4" spans="1:6" ht="18" customHeight="1" x14ac:dyDescent="0.2">
      <c r="A4" s="330" t="s">
        <v>251</v>
      </c>
      <c r="B4" s="399" t="s">
        <v>439</v>
      </c>
      <c r="C4" s="15">
        <v>250</v>
      </c>
      <c r="D4" s="742">
        <f>480+173+44</f>
        <v>697</v>
      </c>
      <c r="E4" s="803">
        <v>119</v>
      </c>
      <c r="F4" s="173">
        <f>E4/D4</f>
        <v>0.17073170731707318</v>
      </c>
    </row>
    <row r="5" spans="1:6" ht="18" customHeight="1" x14ac:dyDescent="0.2">
      <c r="A5" s="330" t="s">
        <v>252</v>
      </c>
      <c r="B5" s="399" t="s">
        <v>92</v>
      </c>
      <c r="C5" s="15">
        <v>1000</v>
      </c>
      <c r="D5" s="742">
        <f>1000-380+380</f>
        <v>1000</v>
      </c>
      <c r="E5" s="803">
        <v>91</v>
      </c>
      <c r="F5" s="173">
        <f t="shared" ref="F5:F33" si="0">E5/D5</f>
        <v>9.0999999999999998E-2</v>
      </c>
    </row>
    <row r="6" spans="1:6" ht="18" customHeight="1" x14ac:dyDescent="0.2">
      <c r="A6" s="330" t="s">
        <v>253</v>
      </c>
      <c r="B6" s="399" t="s">
        <v>17</v>
      </c>
      <c r="C6" s="15">
        <v>9000</v>
      </c>
      <c r="D6" s="742">
        <v>9000</v>
      </c>
      <c r="E6" s="803">
        <v>7172</v>
      </c>
      <c r="F6" s="173">
        <f t="shared" si="0"/>
        <v>0.79688888888888887</v>
      </c>
    </row>
    <row r="7" spans="1:6" ht="18" customHeight="1" x14ac:dyDescent="0.2">
      <c r="A7" s="330" t="s">
        <v>267</v>
      </c>
      <c r="B7" s="399" t="s">
        <v>23</v>
      </c>
      <c r="C7" s="15">
        <v>40000</v>
      </c>
      <c r="D7" s="742">
        <v>40000</v>
      </c>
      <c r="E7" s="803">
        <v>40000</v>
      </c>
      <c r="F7" s="173">
        <f t="shared" si="0"/>
        <v>1</v>
      </c>
    </row>
    <row r="8" spans="1:6" ht="18" customHeight="1" x14ac:dyDescent="0.2">
      <c r="A8" s="330" t="s">
        <v>268</v>
      </c>
      <c r="B8" s="399" t="s">
        <v>220</v>
      </c>
      <c r="C8" s="29">
        <v>32000</v>
      </c>
      <c r="D8" s="742">
        <f>32147-175</f>
        <v>31972</v>
      </c>
      <c r="E8" s="803">
        <f>28921-350</f>
        <v>28571</v>
      </c>
      <c r="F8" s="173">
        <f t="shared" si="0"/>
        <v>0.89362567246340552</v>
      </c>
    </row>
    <row r="9" spans="1:6" ht="21" customHeight="1" x14ac:dyDescent="0.2">
      <c r="A9" s="330" t="s">
        <v>269</v>
      </c>
      <c r="B9" s="399" t="s">
        <v>221</v>
      </c>
      <c r="C9" s="29">
        <v>12000</v>
      </c>
      <c r="D9" s="742">
        <f>11537-700</f>
        <v>10837</v>
      </c>
      <c r="E9" s="803">
        <f>9334-1400</f>
        <v>7934</v>
      </c>
      <c r="F9" s="173">
        <f t="shared" si="0"/>
        <v>0.73212143582172184</v>
      </c>
    </row>
    <row r="10" spans="1:6" ht="18" customHeight="1" x14ac:dyDescent="0.2">
      <c r="A10" s="330" t="s">
        <v>271</v>
      </c>
      <c r="B10" s="399" t="s">
        <v>94</v>
      </c>
      <c r="C10" s="15">
        <v>20000</v>
      </c>
      <c r="D10" s="742">
        <f>21610-100</f>
        <v>21510</v>
      </c>
      <c r="E10" s="803">
        <f>2835+1143+4255+902+8750</f>
        <v>17885</v>
      </c>
      <c r="F10" s="173">
        <f t="shared" si="0"/>
        <v>0.83147373314737327</v>
      </c>
    </row>
    <row r="11" spans="1:6" ht="18" customHeight="1" x14ac:dyDescent="0.2">
      <c r="A11" s="537" t="s">
        <v>573</v>
      </c>
      <c r="B11" s="595" t="s">
        <v>574</v>
      </c>
      <c r="C11" s="550"/>
      <c r="D11" s="742">
        <v>52740</v>
      </c>
      <c r="E11" s="803">
        <f>14381+2456</f>
        <v>16837</v>
      </c>
      <c r="F11" s="173">
        <f t="shared" si="0"/>
        <v>0.31924535456958664</v>
      </c>
    </row>
    <row r="12" spans="1:6" ht="18" customHeight="1" x14ac:dyDescent="0.2">
      <c r="A12" s="330" t="s">
        <v>272</v>
      </c>
      <c r="B12" s="399" t="s">
        <v>26</v>
      </c>
      <c r="C12" s="15">
        <v>2000</v>
      </c>
      <c r="D12" s="742">
        <f>2000+600</f>
        <v>2600</v>
      </c>
      <c r="E12" s="803">
        <f>1812+93+695</f>
        <v>2600</v>
      </c>
      <c r="F12" s="173">
        <f t="shared" si="0"/>
        <v>1</v>
      </c>
    </row>
    <row r="13" spans="1:6" ht="18" customHeight="1" x14ac:dyDescent="0.2">
      <c r="A13" s="330" t="s">
        <v>273</v>
      </c>
      <c r="B13" s="399" t="s">
        <v>40</v>
      </c>
      <c r="C13" s="15">
        <v>3000</v>
      </c>
      <c r="D13" s="742">
        <v>3000</v>
      </c>
      <c r="E13" s="803">
        <v>30</v>
      </c>
      <c r="F13" s="173">
        <f t="shared" si="0"/>
        <v>0.01</v>
      </c>
    </row>
    <row r="14" spans="1:6" ht="21" customHeight="1" x14ac:dyDescent="0.2">
      <c r="A14" s="330" t="s">
        <v>274</v>
      </c>
      <c r="B14" s="415" t="s">
        <v>495</v>
      </c>
      <c r="C14" s="464">
        <v>2500</v>
      </c>
      <c r="D14" s="742">
        <v>2500</v>
      </c>
      <c r="E14" s="1120">
        <v>150</v>
      </c>
      <c r="F14" s="173">
        <f t="shared" si="0"/>
        <v>0.06</v>
      </c>
    </row>
    <row r="15" spans="1:6" ht="21" customHeight="1" x14ac:dyDescent="0.2">
      <c r="A15" s="330" t="s">
        <v>275</v>
      </c>
      <c r="B15" s="399" t="s">
        <v>351</v>
      </c>
      <c r="C15" s="15">
        <v>10000</v>
      </c>
      <c r="D15" s="742">
        <v>10060</v>
      </c>
      <c r="E15" s="803">
        <v>7520</v>
      </c>
      <c r="F15" s="173">
        <f t="shared" si="0"/>
        <v>0.74751491053677932</v>
      </c>
    </row>
    <row r="16" spans="1:6" ht="18" customHeight="1" x14ac:dyDescent="0.2">
      <c r="A16" s="330" t="s">
        <v>276</v>
      </c>
      <c r="B16" s="399" t="s">
        <v>466</v>
      </c>
      <c r="C16" s="15">
        <v>1000</v>
      </c>
      <c r="D16" s="742">
        <v>1000</v>
      </c>
      <c r="E16" s="803">
        <f>7+2+375</f>
        <v>384</v>
      </c>
      <c r="F16" s="173">
        <f t="shared" si="0"/>
        <v>0.38400000000000001</v>
      </c>
    </row>
    <row r="17" spans="1:7" ht="18" customHeight="1" x14ac:dyDescent="0.2">
      <c r="A17" s="330" t="s">
        <v>277</v>
      </c>
      <c r="B17" s="399" t="s">
        <v>362</v>
      </c>
      <c r="C17" s="416">
        <v>1000</v>
      </c>
      <c r="D17" s="742">
        <v>0</v>
      </c>
      <c r="E17" s="803">
        <v>0</v>
      </c>
      <c r="F17" s="173">
        <v>0</v>
      </c>
    </row>
    <row r="18" spans="1:7" ht="18" customHeight="1" x14ac:dyDescent="0.2">
      <c r="A18" s="330" t="s">
        <v>278</v>
      </c>
      <c r="B18" s="399" t="s">
        <v>372</v>
      </c>
      <c r="C18" s="416">
        <v>5000</v>
      </c>
      <c r="D18" s="742">
        <v>5000</v>
      </c>
      <c r="E18" s="803">
        <v>0</v>
      </c>
      <c r="F18" s="173">
        <f t="shared" si="0"/>
        <v>0</v>
      </c>
    </row>
    <row r="19" spans="1:7" ht="18" customHeight="1" x14ac:dyDescent="0.2">
      <c r="A19" s="330" t="s">
        <v>279</v>
      </c>
      <c r="B19" s="451" t="s">
        <v>461</v>
      </c>
      <c r="C19" s="47">
        <v>172</v>
      </c>
      <c r="D19" s="742">
        <v>214</v>
      </c>
      <c r="E19" s="803">
        <f>180+28</f>
        <v>208</v>
      </c>
      <c r="F19" s="173">
        <f t="shared" si="0"/>
        <v>0.9719626168224299</v>
      </c>
    </row>
    <row r="20" spans="1:7" ht="18" customHeight="1" x14ac:dyDescent="0.2">
      <c r="A20" s="330" t="s">
        <v>280</v>
      </c>
      <c r="B20" s="525" t="s">
        <v>533</v>
      </c>
      <c r="C20" s="416">
        <v>77648</v>
      </c>
      <c r="D20" s="742">
        <f>4827-4826-1</f>
        <v>0</v>
      </c>
      <c r="E20" s="803">
        <v>0</v>
      </c>
      <c r="F20" s="173">
        <v>0</v>
      </c>
    </row>
    <row r="21" spans="1:7" ht="18" customHeight="1" x14ac:dyDescent="0.2">
      <c r="A21" s="330" t="s">
        <v>281</v>
      </c>
      <c r="B21" s="324" t="s">
        <v>527</v>
      </c>
      <c r="C21" s="416">
        <v>5000</v>
      </c>
      <c r="D21" s="742">
        <v>5000</v>
      </c>
      <c r="E21" s="803">
        <v>5000</v>
      </c>
      <c r="F21" s="173">
        <f t="shared" si="0"/>
        <v>1</v>
      </c>
    </row>
    <row r="22" spans="1:7" ht="18" customHeight="1" x14ac:dyDescent="0.2">
      <c r="A22" s="330" t="s">
        <v>282</v>
      </c>
      <c r="B22" s="324" t="s">
        <v>401</v>
      </c>
      <c r="C22" s="416">
        <v>1500</v>
      </c>
      <c r="D22" s="742">
        <v>1500</v>
      </c>
      <c r="E22" s="803">
        <v>3</v>
      </c>
      <c r="F22" s="173">
        <f t="shared" si="0"/>
        <v>2E-3</v>
      </c>
    </row>
    <row r="23" spans="1:7" ht="18" customHeight="1" x14ac:dyDescent="0.2">
      <c r="A23" s="330" t="s">
        <v>283</v>
      </c>
      <c r="B23" s="324" t="s">
        <v>577</v>
      </c>
      <c r="C23" s="416">
        <v>12850</v>
      </c>
      <c r="D23" s="742">
        <v>12850</v>
      </c>
      <c r="E23" s="803">
        <v>0</v>
      </c>
      <c r="F23" s="173">
        <f t="shared" si="0"/>
        <v>0</v>
      </c>
    </row>
    <row r="24" spans="1:7" ht="18" customHeight="1" x14ac:dyDescent="0.2">
      <c r="A24" s="330" t="s">
        <v>284</v>
      </c>
      <c r="B24" s="726" t="s">
        <v>520</v>
      </c>
      <c r="C24" s="416">
        <v>1000</v>
      </c>
      <c r="D24" s="742">
        <v>1000</v>
      </c>
      <c r="E24" s="803">
        <v>866</v>
      </c>
      <c r="F24" s="173">
        <f t="shared" si="0"/>
        <v>0.86599999999999999</v>
      </c>
    </row>
    <row r="25" spans="1:7" ht="18" customHeight="1" x14ac:dyDescent="0.2">
      <c r="A25" s="330" t="s">
        <v>290</v>
      </c>
      <c r="B25" s="726" t="s">
        <v>558</v>
      </c>
      <c r="C25" s="416">
        <v>20000</v>
      </c>
      <c r="D25" s="742">
        <v>20000</v>
      </c>
      <c r="E25" s="803">
        <f>95+3670</f>
        <v>3765</v>
      </c>
      <c r="F25" s="173">
        <f t="shared" si="0"/>
        <v>0.18825</v>
      </c>
    </row>
    <row r="26" spans="1:7" ht="18" customHeight="1" x14ac:dyDescent="0.2">
      <c r="A26" s="330" t="s">
        <v>291</v>
      </c>
      <c r="B26" s="726" t="s">
        <v>543</v>
      </c>
      <c r="C26" s="416">
        <v>20000</v>
      </c>
      <c r="D26" s="742">
        <f>20000-3000</f>
        <v>17000</v>
      </c>
      <c r="E26" s="803">
        <v>6985</v>
      </c>
      <c r="F26" s="173">
        <f t="shared" si="0"/>
        <v>0.41088235294117648</v>
      </c>
    </row>
    <row r="27" spans="1:7" ht="18" customHeight="1" x14ac:dyDescent="0.2">
      <c r="A27" s="330" t="s">
        <v>292</v>
      </c>
      <c r="B27" s="399" t="s">
        <v>659</v>
      </c>
      <c r="C27" s="15">
        <v>10000</v>
      </c>
      <c r="D27" s="742">
        <v>833</v>
      </c>
      <c r="E27" s="803">
        <v>0</v>
      </c>
      <c r="F27" s="173">
        <f t="shared" si="0"/>
        <v>0</v>
      </c>
    </row>
    <row r="28" spans="1:7" ht="18" customHeight="1" x14ac:dyDescent="0.2">
      <c r="A28" s="330" t="s">
        <v>293</v>
      </c>
      <c r="B28" s="435" t="s">
        <v>556</v>
      </c>
      <c r="C28" s="416"/>
      <c r="D28" s="742">
        <v>904</v>
      </c>
      <c r="E28" s="803">
        <v>0</v>
      </c>
      <c r="F28" s="173">
        <f t="shared" si="0"/>
        <v>0</v>
      </c>
    </row>
    <row r="29" spans="1:7" ht="18" customHeight="1" x14ac:dyDescent="0.2">
      <c r="A29" s="330" t="s">
        <v>294</v>
      </c>
      <c r="B29" s="399" t="s">
        <v>460</v>
      </c>
      <c r="C29" s="416"/>
      <c r="D29" s="742">
        <f>70949+12416</f>
        <v>83365</v>
      </c>
      <c r="E29" s="803">
        <f>65532+5417+12416</f>
        <v>83365</v>
      </c>
      <c r="F29" s="173">
        <f t="shared" si="0"/>
        <v>1</v>
      </c>
    </row>
    <row r="30" spans="1:7" ht="18" customHeight="1" x14ac:dyDescent="0.2">
      <c r="A30" s="330" t="s">
        <v>295</v>
      </c>
      <c r="B30" s="324" t="s">
        <v>601</v>
      </c>
      <c r="C30" s="416"/>
      <c r="D30" s="538">
        <v>5592</v>
      </c>
      <c r="E30" s="803">
        <f>3520+2072</f>
        <v>5592</v>
      </c>
      <c r="F30" s="173">
        <f t="shared" si="0"/>
        <v>1</v>
      </c>
    </row>
    <row r="31" spans="1:7" ht="18" customHeight="1" x14ac:dyDescent="0.2">
      <c r="A31" s="342" t="s">
        <v>296</v>
      </c>
      <c r="B31" s="324" t="s">
        <v>639</v>
      </c>
      <c r="C31" s="416"/>
      <c r="D31" s="538">
        <f>6000+4541</f>
        <v>10541</v>
      </c>
      <c r="E31" s="803">
        <v>0</v>
      </c>
      <c r="F31" s="173">
        <f t="shared" si="0"/>
        <v>0</v>
      </c>
      <c r="G31" s="1137"/>
    </row>
    <row r="32" spans="1:7" ht="18" customHeight="1" x14ac:dyDescent="0.2">
      <c r="A32" s="330" t="s">
        <v>297</v>
      </c>
      <c r="B32" s="324" t="s">
        <v>661</v>
      </c>
      <c r="C32" s="416"/>
      <c r="D32" s="538">
        <v>1500</v>
      </c>
      <c r="E32" s="803">
        <v>1500</v>
      </c>
      <c r="F32" s="173">
        <f t="shared" si="0"/>
        <v>1</v>
      </c>
    </row>
    <row r="33" spans="1:7" ht="18" customHeight="1" x14ac:dyDescent="0.2">
      <c r="A33" s="330" t="s">
        <v>298</v>
      </c>
      <c r="B33" s="324" t="s">
        <v>664</v>
      </c>
      <c r="C33" s="416"/>
      <c r="D33" s="538">
        <v>6542</v>
      </c>
      <c r="E33" s="803">
        <v>0</v>
      </c>
      <c r="F33" s="173">
        <f t="shared" si="0"/>
        <v>0</v>
      </c>
    </row>
    <row r="34" spans="1:7" ht="18" customHeight="1" thickBot="1" x14ac:dyDescent="0.25">
      <c r="A34" s="546"/>
      <c r="B34" s="727"/>
      <c r="C34" s="577"/>
      <c r="D34" s="743"/>
      <c r="E34" s="804"/>
      <c r="F34" s="575"/>
    </row>
    <row r="35" spans="1:7" s="77" customFormat="1" ht="27.75" customHeight="1" thickBot="1" x14ac:dyDescent="0.25">
      <c r="A35" s="333"/>
      <c r="B35" s="576" t="s">
        <v>162</v>
      </c>
      <c r="C35" s="578">
        <f>SUM(C3:C34)</f>
        <v>287920</v>
      </c>
      <c r="D35" s="736">
        <f>SUM(D3:D34)</f>
        <v>359757</v>
      </c>
      <c r="E35" s="805">
        <f>SUM(E3:E34)</f>
        <v>237205</v>
      </c>
      <c r="F35" s="194">
        <f>E35/D35</f>
        <v>0.65934783756813631</v>
      </c>
      <c r="G35" s="1135"/>
    </row>
    <row r="36" spans="1:7" ht="24.75" customHeight="1" x14ac:dyDescent="0.2">
      <c r="A36" s="332"/>
      <c r="B36" s="579" t="s">
        <v>161</v>
      </c>
      <c r="C36" s="417"/>
      <c r="D36" s="737"/>
      <c r="E36" s="806"/>
      <c r="F36" s="187"/>
    </row>
    <row r="37" spans="1:7" ht="18" customHeight="1" x14ac:dyDescent="0.2">
      <c r="A37" s="330" t="s">
        <v>260</v>
      </c>
      <c r="B37" s="329" t="s">
        <v>638</v>
      </c>
      <c r="C37" s="418">
        <v>800</v>
      </c>
      <c r="D37" s="158">
        <v>800</v>
      </c>
      <c r="E37" s="807">
        <f>505+140+122</f>
        <v>767</v>
      </c>
      <c r="F37" s="173">
        <f>E37/D37</f>
        <v>0.95874999999999999</v>
      </c>
    </row>
    <row r="38" spans="1:7" ht="18" customHeight="1" x14ac:dyDescent="0.2">
      <c r="A38" s="330"/>
      <c r="B38" s="329"/>
      <c r="C38" s="418"/>
      <c r="D38" s="158"/>
      <c r="E38" s="807"/>
      <c r="F38" s="173"/>
    </row>
    <row r="39" spans="1:7" ht="18" customHeight="1" thickBot="1" x14ac:dyDescent="0.25">
      <c r="A39" s="331"/>
      <c r="B39" s="419"/>
      <c r="C39" s="420"/>
      <c r="D39" s="738"/>
      <c r="E39" s="804"/>
      <c r="F39" s="276"/>
    </row>
    <row r="40" spans="1:7" ht="18" customHeight="1" thickBot="1" x14ac:dyDescent="0.25">
      <c r="A40" s="333"/>
      <c r="B40" s="421" t="s">
        <v>163</v>
      </c>
      <c r="C40" s="422">
        <f>SUM(C37:C39)</f>
        <v>800</v>
      </c>
      <c r="D40" s="739">
        <f>SUM(D37:D39)</f>
        <v>800</v>
      </c>
      <c r="E40" s="808">
        <f>SUM(E37:E39)</f>
        <v>767</v>
      </c>
      <c r="F40" s="194">
        <f>E40/D40</f>
        <v>0.95874999999999999</v>
      </c>
    </row>
    <row r="41" spans="1:7" s="77" customFormat="1" ht="21" customHeight="1" thickBot="1" x14ac:dyDescent="0.25">
      <c r="A41" s="335"/>
      <c r="B41" s="423"/>
      <c r="C41" s="424"/>
      <c r="D41" s="190"/>
      <c r="E41" s="809"/>
      <c r="F41" s="195"/>
      <c r="G41" s="1135"/>
    </row>
    <row r="42" spans="1:7" ht="13.5" thickTop="1" x14ac:dyDescent="0.2"/>
  </sheetData>
  <mergeCells count="4">
    <mergeCell ref="C1:E1"/>
    <mergeCell ref="B1:B2"/>
    <mergeCell ref="F1:F2"/>
    <mergeCell ref="A1:A2"/>
  </mergeCells>
  <phoneticPr fontId="0" type="noConversion"/>
  <printOptions horizontalCentered="1"/>
  <pageMargins left="0.26" right="0.31" top="1.1399999999999999" bottom="0.81" header="0.46" footer="0.54"/>
  <pageSetup paperSize="8" scale="82" orientation="portrait" r:id="rId1"/>
  <headerFooter alignWithMargins="0">
    <oddHeader>&amp;C&amp;"Times New Roman CE,Félkövér"&amp;18Külön keretek&amp;"Times New Roman CE,Normál"
&amp;11/ ezer Ft /&amp;R&amp;"Times New Roman,Normál"&amp;12 12. sz.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F54"/>
  <sheetViews>
    <sheetView topLeftCell="A43" zoomScale="145" zoomScaleNormal="145" workbookViewId="0">
      <selection activeCell="D51" sqref="D51"/>
    </sheetView>
  </sheetViews>
  <sheetFormatPr defaultColWidth="8.85546875" defaultRowHeight="12.75" x14ac:dyDescent="0.2"/>
  <cols>
    <col min="1" max="1" width="8" style="336" customWidth="1"/>
    <col min="2" max="2" width="51.140625" style="41" customWidth="1"/>
    <col min="3" max="3" width="12.7109375" style="41" customWidth="1"/>
    <col min="4" max="5" width="12.7109375" style="80" customWidth="1"/>
    <col min="6" max="6" width="9.28515625" style="207" customWidth="1"/>
    <col min="7" max="16384" width="8.85546875" style="41"/>
  </cols>
  <sheetData>
    <row r="1" spans="1:6" ht="13.5" customHeight="1" thickTop="1" x14ac:dyDescent="0.2">
      <c r="A1" s="1235" t="s">
        <v>233</v>
      </c>
      <c r="B1" s="1226" t="s">
        <v>66</v>
      </c>
      <c r="C1" s="1295" t="s">
        <v>104</v>
      </c>
      <c r="D1" s="1254"/>
      <c r="E1" s="1254"/>
      <c r="F1" s="1296"/>
    </row>
    <row r="2" spans="1:6" ht="43.5" customHeight="1" thickBot="1" x14ac:dyDescent="0.25">
      <c r="A2" s="1241"/>
      <c r="B2" s="1287"/>
      <c r="C2" s="580" t="s">
        <v>561</v>
      </c>
      <c r="D2" s="581" t="s">
        <v>562</v>
      </c>
      <c r="E2" s="663" t="s">
        <v>606</v>
      </c>
      <c r="F2" s="783" t="s">
        <v>677</v>
      </c>
    </row>
    <row r="3" spans="1:6" s="77" customFormat="1" ht="18" customHeight="1" x14ac:dyDescent="0.2">
      <c r="A3" s="334"/>
      <c r="B3" s="337" t="s">
        <v>43</v>
      </c>
      <c r="C3" s="582"/>
      <c r="D3" s="582"/>
      <c r="E3" s="664"/>
      <c r="F3" s="583"/>
    </row>
    <row r="4" spans="1:6" s="77" customFormat="1" ht="23.1" customHeight="1" x14ac:dyDescent="0.2">
      <c r="A4" s="330" t="s">
        <v>250</v>
      </c>
      <c r="B4" s="323" t="s">
        <v>470</v>
      </c>
      <c r="C4" s="541">
        <v>4000</v>
      </c>
      <c r="D4" s="541">
        <v>4000</v>
      </c>
      <c r="E4" s="665">
        <f>2892+781</f>
        <v>3673</v>
      </c>
      <c r="F4" s="677">
        <f>E4/D4</f>
        <v>0.91825000000000001</v>
      </c>
    </row>
    <row r="5" spans="1:6" s="77" customFormat="1" ht="23.1" customHeight="1" x14ac:dyDescent="0.2">
      <c r="A5" s="537" t="s">
        <v>251</v>
      </c>
      <c r="B5" s="552" t="s">
        <v>514</v>
      </c>
      <c r="C5" s="541">
        <v>10000</v>
      </c>
      <c r="D5" s="541">
        <f>10000-800</f>
        <v>9200</v>
      </c>
      <c r="E5" s="665">
        <f>1319+5637</f>
        <v>6956</v>
      </c>
      <c r="F5" s="677">
        <f t="shared" ref="F5:F48" si="0">E5/D5</f>
        <v>0.75608695652173918</v>
      </c>
    </row>
    <row r="6" spans="1:6" s="77" customFormat="1" ht="23.1" customHeight="1" x14ac:dyDescent="0.2">
      <c r="A6" s="330" t="s">
        <v>252</v>
      </c>
      <c r="B6" s="323" t="s">
        <v>471</v>
      </c>
      <c r="C6" s="541">
        <v>5080</v>
      </c>
      <c r="D6" s="541">
        <f>5080+2678</f>
        <v>7758</v>
      </c>
      <c r="E6" s="665">
        <f>6714+1813</f>
        <v>8527</v>
      </c>
      <c r="F6" s="677">
        <f t="shared" si="0"/>
        <v>1.0991234854343903</v>
      </c>
    </row>
    <row r="7" spans="1:6" s="77" customFormat="1" ht="23.1" customHeight="1" x14ac:dyDescent="0.2">
      <c r="A7" s="330" t="s">
        <v>253</v>
      </c>
      <c r="B7" s="324" t="s">
        <v>462</v>
      </c>
      <c r="C7" s="557">
        <v>1116316</v>
      </c>
      <c r="D7" s="541">
        <v>1116316</v>
      </c>
      <c r="E7" s="665">
        <f>4680+702+377+66009</f>
        <v>71768</v>
      </c>
      <c r="F7" s="677">
        <f t="shared" si="0"/>
        <v>6.4290039737852009E-2</v>
      </c>
    </row>
    <row r="8" spans="1:6" s="77" customFormat="1" ht="23.1" customHeight="1" x14ac:dyDescent="0.2">
      <c r="A8" s="330" t="s">
        <v>267</v>
      </c>
      <c r="B8" s="323" t="s">
        <v>441</v>
      </c>
      <c r="C8" s="541">
        <v>10000</v>
      </c>
      <c r="D8" s="541">
        <v>0</v>
      </c>
      <c r="E8" s="665">
        <v>0</v>
      </c>
      <c r="F8" s="677">
        <v>0</v>
      </c>
    </row>
    <row r="9" spans="1:6" s="77" customFormat="1" ht="23.1" customHeight="1" x14ac:dyDescent="0.2">
      <c r="A9" s="330" t="s">
        <v>268</v>
      </c>
      <c r="B9" s="323" t="s">
        <v>475</v>
      </c>
      <c r="C9" s="541">
        <v>5000</v>
      </c>
      <c r="D9" s="541">
        <f>3500+350</f>
        <v>3850</v>
      </c>
      <c r="E9" s="665">
        <f>350+2930</f>
        <v>3280</v>
      </c>
      <c r="F9" s="677">
        <f t="shared" si="0"/>
        <v>0.8519480519480519</v>
      </c>
    </row>
    <row r="10" spans="1:6" s="77" customFormat="1" ht="23.1" customHeight="1" x14ac:dyDescent="0.2">
      <c r="A10" s="330" t="s">
        <v>269</v>
      </c>
      <c r="B10" s="323" t="s">
        <v>509</v>
      </c>
      <c r="C10" s="541">
        <v>9000</v>
      </c>
      <c r="D10" s="541">
        <f>9000+7847</f>
        <v>16847</v>
      </c>
      <c r="E10" s="665">
        <f>80+680+162</f>
        <v>922</v>
      </c>
      <c r="F10" s="677">
        <f t="shared" si="0"/>
        <v>5.4727844720128212E-2</v>
      </c>
    </row>
    <row r="11" spans="1:6" s="77" customFormat="1" ht="23.1" customHeight="1" x14ac:dyDescent="0.2">
      <c r="A11" s="330" t="s">
        <v>271</v>
      </c>
      <c r="B11" s="323" t="s">
        <v>536</v>
      </c>
      <c r="C11" s="541">
        <v>5000</v>
      </c>
      <c r="D11" s="541">
        <v>5000</v>
      </c>
      <c r="E11" s="665">
        <v>3734</v>
      </c>
      <c r="F11" s="677">
        <f t="shared" si="0"/>
        <v>0.74680000000000002</v>
      </c>
    </row>
    <row r="12" spans="1:6" s="77" customFormat="1" ht="23.1" customHeight="1" x14ac:dyDescent="0.2">
      <c r="A12" s="330" t="s">
        <v>272</v>
      </c>
      <c r="B12" s="564" t="s">
        <v>497</v>
      </c>
      <c r="C12" s="541">
        <v>32500</v>
      </c>
      <c r="D12" s="541">
        <v>32500</v>
      </c>
      <c r="E12" s="665">
        <v>32500</v>
      </c>
      <c r="F12" s="677">
        <f t="shared" si="0"/>
        <v>1</v>
      </c>
    </row>
    <row r="13" spans="1:6" s="77" customFormat="1" ht="23.1" customHeight="1" x14ac:dyDescent="0.2">
      <c r="A13" s="330" t="s">
        <v>273</v>
      </c>
      <c r="B13" s="551" t="s">
        <v>510</v>
      </c>
      <c r="C13" s="541">
        <v>30000</v>
      </c>
      <c r="D13" s="541">
        <v>6000</v>
      </c>
      <c r="E13" s="665">
        <v>1500</v>
      </c>
      <c r="F13" s="677">
        <f t="shared" si="0"/>
        <v>0.25</v>
      </c>
    </row>
    <row r="14" spans="1:6" s="77" customFormat="1" ht="23.1" customHeight="1" x14ac:dyDescent="0.2">
      <c r="A14" s="330" t="s">
        <v>274</v>
      </c>
      <c r="B14" s="552" t="s">
        <v>512</v>
      </c>
      <c r="C14" s="541">
        <v>25000</v>
      </c>
      <c r="D14" s="541">
        <v>25000</v>
      </c>
      <c r="E14" s="665">
        <f>4283+16308</f>
        <v>20591</v>
      </c>
      <c r="F14" s="677">
        <f t="shared" si="0"/>
        <v>0.82364000000000004</v>
      </c>
    </row>
    <row r="15" spans="1:6" s="77" customFormat="1" ht="23.1" customHeight="1" x14ac:dyDescent="0.2">
      <c r="A15" s="330" t="s">
        <v>275</v>
      </c>
      <c r="B15" s="552" t="s">
        <v>513</v>
      </c>
      <c r="C15" s="541">
        <v>30000</v>
      </c>
      <c r="D15" s="541">
        <v>0</v>
      </c>
      <c r="E15" s="665">
        <v>0</v>
      </c>
      <c r="F15" s="677">
        <v>0</v>
      </c>
    </row>
    <row r="16" spans="1:6" s="77" customFormat="1" ht="23.1" customHeight="1" x14ac:dyDescent="0.2">
      <c r="A16" s="330" t="s">
        <v>276</v>
      </c>
      <c r="B16" s="346" t="s">
        <v>640</v>
      </c>
      <c r="C16" s="541">
        <v>148000</v>
      </c>
      <c r="D16" s="541">
        <f>148000+18754</f>
        <v>166754</v>
      </c>
      <c r="E16" s="665">
        <f>4+2+28688+123660</f>
        <v>152354</v>
      </c>
      <c r="F16" s="677">
        <f t="shared" si="0"/>
        <v>0.91364524988905815</v>
      </c>
    </row>
    <row r="17" spans="1:6" s="77" customFormat="1" ht="23.1" customHeight="1" x14ac:dyDescent="0.2">
      <c r="A17" s="330" t="s">
        <v>277</v>
      </c>
      <c r="B17" s="322" t="s">
        <v>493</v>
      </c>
      <c r="C17" s="584">
        <v>245000</v>
      </c>
      <c r="D17" s="541">
        <v>245000</v>
      </c>
      <c r="E17" s="665">
        <v>0</v>
      </c>
      <c r="F17" s="677">
        <f t="shared" si="0"/>
        <v>0</v>
      </c>
    </row>
    <row r="18" spans="1:6" s="77" customFormat="1" ht="23.1" customHeight="1" x14ac:dyDescent="0.2">
      <c r="A18" s="330" t="s">
        <v>278</v>
      </c>
      <c r="B18" s="323" t="s">
        <v>511</v>
      </c>
      <c r="C18" s="541">
        <v>22064</v>
      </c>
      <c r="D18" s="541">
        <v>0</v>
      </c>
      <c r="E18" s="665">
        <v>0</v>
      </c>
      <c r="F18" s="677">
        <v>0</v>
      </c>
    </row>
    <row r="19" spans="1:6" s="77" customFormat="1" ht="23.1" customHeight="1" x14ac:dyDescent="0.2">
      <c r="A19" s="330" t="s">
        <v>279</v>
      </c>
      <c r="B19" s="564" t="s">
        <v>557</v>
      </c>
      <c r="C19" s="565">
        <v>2500</v>
      </c>
      <c r="D19" s="541">
        <v>0</v>
      </c>
      <c r="E19" s="665">
        <v>0</v>
      </c>
      <c r="F19" s="677">
        <v>0</v>
      </c>
    </row>
    <row r="20" spans="1:6" s="77" customFormat="1" ht="23.1" customHeight="1" x14ac:dyDescent="0.2">
      <c r="A20" s="537" t="s">
        <v>280</v>
      </c>
      <c r="B20" s="552" t="s">
        <v>532</v>
      </c>
      <c r="C20" s="541">
        <v>7600</v>
      </c>
      <c r="D20" s="541">
        <v>500</v>
      </c>
      <c r="E20" s="665">
        <v>500</v>
      </c>
      <c r="F20" s="677">
        <f t="shared" si="0"/>
        <v>1</v>
      </c>
    </row>
    <row r="21" spans="1:6" s="77" customFormat="1" ht="23.1" customHeight="1" x14ac:dyDescent="0.2">
      <c r="A21" s="537" t="s">
        <v>281</v>
      </c>
      <c r="B21" s="552" t="s">
        <v>528</v>
      </c>
      <c r="C21" s="541">
        <v>17500</v>
      </c>
      <c r="D21" s="541">
        <v>17500</v>
      </c>
      <c r="E21" s="665">
        <v>17430</v>
      </c>
      <c r="F21" s="677">
        <f t="shared" si="0"/>
        <v>0.996</v>
      </c>
    </row>
    <row r="22" spans="1:6" s="77" customFormat="1" ht="23.1" customHeight="1" x14ac:dyDescent="0.2">
      <c r="A22" s="537" t="s">
        <v>282</v>
      </c>
      <c r="B22" s="552" t="s">
        <v>531</v>
      </c>
      <c r="C22" s="541">
        <v>12000</v>
      </c>
      <c r="D22" s="541">
        <v>12000</v>
      </c>
      <c r="E22" s="665">
        <f>259+55+11346</f>
        <v>11660</v>
      </c>
      <c r="F22" s="677">
        <f t="shared" si="0"/>
        <v>0.97166666666666668</v>
      </c>
    </row>
    <row r="23" spans="1:6" s="77" customFormat="1" ht="23.1" customHeight="1" x14ac:dyDescent="0.2">
      <c r="A23" s="537" t="s">
        <v>283</v>
      </c>
      <c r="B23" s="552" t="s">
        <v>537</v>
      </c>
      <c r="C23" s="541">
        <v>6000</v>
      </c>
      <c r="D23" s="541">
        <v>0</v>
      </c>
      <c r="E23" s="665">
        <v>0</v>
      </c>
      <c r="F23" s="677">
        <v>0</v>
      </c>
    </row>
    <row r="24" spans="1:6" s="77" customFormat="1" ht="23.1" customHeight="1" x14ac:dyDescent="0.2">
      <c r="A24" s="537" t="s">
        <v>284</v>
      </c>
      <c r="B24" s="552" t="s">
        <v>538</v>
      </c>
      <c r="C24" s="541">
        <v>8900</v>
      </c>
      <c r="D24" s="541">
        <v>0</v>
      </c>
      <c r="E24" s="665">
        <v>0</v>
      </c>
      <c r="F24" s="677">
        <v>0</v>
      </c>
    </row>
    <row r="25" spans="1:6" s="77" customFormat="1" ht="23.1" customHeight="1" x14ac:dyDescent="0.2">
      <c r="A25" s="537" t="s">
        <v>290</v>
      </c>
      <c r="B25" s="552" t="s">
        <v>539</v>
      </c>
      <c r="C25" s="541">
        <v>15300</v>
      </c>
      <c r="D25" s="541">
        <v>0</v>
      </c>
      <c r="E25" s="665">
        <v>0</v>
      </c>
      <c r="F25" s="677">
        <v>0</v>
      </c>
    </row>
    <row r="26" spans="1:6" s="77" customFormat="1" ht="28.5" customHeight="1" x14ac:dyDescent="0.2">
      <c r="A26" s="537" t="s">
        <v>291</v>
      </c>
      <c r="B26" s="563" t="s">
        <v>540</v>
      </c>
      <c r="C26" s="541">
        <v>6500</v>
      </c>
      <c r="D26" s="541">
        <v>6500</v>
      </c>
      <c r="E26" s="665">
        <v>5290</v>
      </c>
      <c r="F26" s="677">
        <f t="shared" si="0"/>
        <v>0.81384615384615389</v>
      </c>
    </row>
    <row r="27" spans="1:6" s="77" customFormat="1" ht="33" customHeight="1" x14ac:dyDescent="0.2">
      <c r="A27" s="537" t="s">
        <v>292</v>
      </c>
      <c r="B27" s="563" t="s">
        <v>541</v>
      </c>
      <c r="C27" s="541">
        <v>7000</v>
      </c>
      <c r="D27" s="541">
        <v>200</v>
      </c>
      <c r="E27" s="665">
        <v>110</v>
      </c>
      <c r="F27" s="677">
        <f t="shared" si="0"/>
        <v>0.55000000000000004</v>
      </c>
    </row>
    <row r="28" spans="1:6" s="77" customFormat="1" ht="24" customHeight="1" x14ac:dyDescent="0.2">
      <c r="A28" s="537" t="s">
        <v>293</v>
      </c>
      <c r="B28" s="563" t="s">
        <v>544</v>
      </c>
      <c r="C28" s="541">
        <v>10000</v>
      </c>
      <c r="D28" s="541">
        <v>10000</v>
      </c>
      <c r="E28" s="665">
        <v>4255</v>
      </c>
      <c r="F28" s="677">
        <f t="shared" si="0"/>
        <v>0.42549999999999999</v>
      </c>
    </row>
    <row r="29" spans="1:6" s="77" customFormat="1" ht="23.1" customHeight="1" x14ac:dyDescent="0.2">
      <c r="A29" s="537" t="s">
        <v>294</v>
      </c>
      <c r="B29" s="552" t="s">
        <v>542</v>
      </c>
      <c r="C29" s="541">
        <v>3500</v>
      </c>
      <c r="D29" s="541">
        <v>3500</v>
      </c>
      <c r="E29" s="665">
        <v>1680</v>
      </c>
      <c r="F29" s="677">
        <f t="shared" si="0"/>
        <v>0.48</v>
      </c>
    </row>
    <row r="30" spans="1:6" s="77" customFormat="1" ht="23.1" customHeight="1" x14ac:dyDescent="0.2">
      <c r="A30" s="537" t="s">
        <v>295</v>
      </c>
      <c r="B30" s="552" t="s">
        <v>643</v>
      </c>
      <c r="C30" s="541"/>
      <c r="D30" s="541">
        <f>122300-20000</f>
        <v>102300</v>
      </c>
      <c r="E30" s="665">
        <f>3252+99110</f>
        <v>102362</v>
      </c>
      <c r="F30" s="677">
        <f t="shared" si="0"/>
        <v>1.0006060606060605</v>
      </c>
    </row>
    <row r="31" spans="1:6" s="77" customFormat="1" ht="23.1" customHeight="1" x14ac:dyDescent="0.2">
      <c r="A31" s="330" t="s">
        <v>296</v>
      </c>
      <c r="B31" s="322" t="s">
        <v>575</v>
      </c>
      <c r="C31" s="557"/>
      <c r="D31" s="541">
        <v>0</v>
      </c>
      <c r="E31" s="665">
        <v>0</v>
      </c>
      <c r="F31" s="677">
        <v>0</v>
      </c>
    </row>
    <row r="32" spans="1:6" s="77" customFormat="1" ht="23.1" customHeight="1" x14ac:dyDescent="0.2">
      <c r="A32" s="330" t="s">
        <v>297</v>
      </c>
      <c r="B32" s="322" t="s">
        <v>592</v>
      </c>
      <c r="C32" s="557"/>
      <c r="D32" s="557">
        <v>9007</v>
      </c>
      <c r="E32" s="1118">
        <v>8845</v>
      </c>
      <c r="F32" s="677">
        <f t="shared" si="0"/>
        <v>0.98201398911957372</v>
      </c>
    </row>
    <row r="33" spans="1:6" s="77" customFormat="1" ht="23.1" customHeight="1" x14ac:dyDescent="0.2">
      <c r="A33" s="330" t="s">
        <v>298</v>
      </c>
      <c r="B33" s="322" t="s">
        <v>593</v>
      </c>
      <c r="C33" s="557"/>
      <c r="D33" s="557">
        <v>2605</v>
      </c>
      <c r="E33" s="1118">
        <v>2605</v>
      </c>
      <c r="F33" s="677">
        <f t="shared" si="0"/>
        <v>1</v>
      </c>
    </row>
    <row r="34" spans="1:6" s="77" customFormat="1" ht="23.1" customHeight="1" x14ac:dyDescent="0.2">
      <c r="A34" s="330" t="s">
        <v>299</v>
      </c>
      <c r="B34" s="322" t="s">
        <v>594</v>
      </c>
      <c r="C34" s="557"/>
      <c r="D34" s="557">
        <v>17050</v>
      </c>
      <c r="E34" s="1118">
        <f>3391+13138</f>
        <v>16529</v>
      </c>
      <c r="F34" s="677">
        <f t="shared" si="0"/>
        <v>0.9694428152492669</v>
      </c>
    </row>
    <row r="35" spans="1:6" s="77" customFormat="1" ht="23.1" customHeight="1" x14ac:dyDescent="0.2">
      <c r="A35" s="330" t="s">
        <v>300</v>
      </c>
      <c r="B35" s="324" t="s">
        <v>595</v>
      </c>
      <c r="C35" s="562"/>
      <c r="D35" s="557">
        <v>290</v>
      </c>
      <c r="E35" s="774">
        <v>290</v>
      </c>
      <c r="F35" s="677">
        <f t="shared" si="0"/>
        <v>1</v>
      </c>
    </row>
    <row r="36" spans="1:6" s="77" customFormat="1" ht="23.1" customHeight="1" x14ac:dyDescent="0.2">
      <c r="A36" s="537" t="s">
        <v>301</v>
      </c>
      <c r="B36" s="552" t="s">
        <v>596</v>
      </c>
      <c r="C36" s="541"/>
      <c r="D36" s="557">
        <v>28250</v>
      </c>
      <c r="E36" s="774">
        <f>5886+22100</f>
        <v>27986</v>
      </c>
      <c r="F36" s="677">
        <f t="shared" si="0"/>
        <v>0.99065486725663721</v>
      </c>
    </row>
    <row r="37" spans="1:6" s="77" customFormat="1" ht="23.1" customHeight="1" x14ac:dyDescent="0.2">
      <c r="A37" s="693" t="s">
        <v>302</v>
      </c>
      <c r="B37" s="552" t="s">
        <v>647</v>
      </c>
      <c r="C37" s="541"/>
      <c r="D37" s="584">
        <v>20000</v>
      </c>
      <c r="E37" s="774">
        <v>2183</v>
      </c>
      <c r="F37" s="677">
        <f t="shared" si="0"/>
        <v>0.10915</v>
      </c>
    </row>
    <row r="38" spans="1:6" s="77" customFormat="1" ht="23.1" customHeight="1" x14ac:dyDescent="0.2">
      <c r="A38" s="693" t="s">
        <v>303</v>
      </c>
      <c r="B38" s="552" t="s">
        <v>636</v>
      </c>
      <c r="C38" s="541"/>
      <c r="D38" s="584">
        <f>42670-27735+1388+27736</f>
        <v>44059</v>
      </c>
      <c r="E38" s="774">
        <v>140</v>
      </c>
      <c r="F38" s="677">
        <f t="shared" si="0"/>
        <v>3.1775573662588801E-3</v>
      </c>
    </row>
    <row r="39" spans="1:6" s="77" customFormat="1" ht="23.1" customHeight="1" x14ac:dyDescent="0.2">
      <c r="A39" s="330" t="s">
        <v>304</v>
      </c>
      <c r="B39" s="346" t="s">
        <v>621</v>
      </c>
      <c r="C39" s="541"/>
      <c r="D39" s="541">
        <v>2500</v>
      </c>
      <c r="E39" s="665">
        <v>0</v>
      </c>
      <c r="F39" s="677">
        <f t="shared" si="0"/>
        <v>0</v>
      </c>
    </row>
    <row r="40" spans="1:6" s="77" customFormat="1" ht="23.1" customHeight="1" x14ac:dyDescent="0.2">
      <c r="A40" s="546" t="s">
        <v>305</v>
      </c>
      <c r="B40" s="552" t="s">
        <v>642</v>
      </c>
      <c r="C40" s="552"/>
      <c r="D40" s="541">
        <v>7500</v>
      </c>
      <c r="E40" s="665">
        <v>0</v>
      </c>
      <c r="F40" s="677">
        <f t="shared" si="0"/>
        <v>0</v>
      </c>
    </row>
    <row r="41" spans="1:6" s="77" customFormat="1" ht="23.1" customHeight="1" x14ac:dyDescent="0.2">
      <c r="A41" s="546" t="s">
        <v>306</v>
      </c>
      <c r="B41" s="552" t="s">
        <v>637</v>
      </c>
      <c r="C41" s="541"/>
      <c r="D41" s="541">
        <v>800</v>
      </c>
      <c r="E41" s="665">
        <v>0</v>
      </c>
      <c r="F41" s="677">
        <f t="shared" si="0"/>
        <v>0</v>
      </c>
    </row>
    <row r="42" spans="1:6" s="77" customFormat="1" ht="23.1" customHeight="1" x14ac:dyDescent="0.2">
      <c r="A42" s="784" t="s">
        <v>550</v>
      </c>
      <c r="B42" s="552" t="s">
        <v>663</v>
      </c>
      <c r="C42" s="785"/>
      <c r="D42" s="785">
        <f>80000+23000+47000</f>
        <v>150000</v>
      </c>
      <c r="E42" s="786">
        <v>0</v>
      </c>
      <c r="F42" s="677">
        <f t="shared" si="0"/>
        <v>0</v>
      </c>
    </row>
    <row r="43" spans="1:6" s="77" customFormat="1" ht="23.1" customHeight="1" x14ac:dyDescent="0.2">
      <c r="A43" s="784" t="s">
        <v>307</v>
      </c>
      <c r="B43" s="552" t="s">
        <v>651</v>
      </c>
      <c r="C43" s="785"/>
      <c r="D43" s="785">
        <v>10500</v>
      </c>
      <c r="E43" s="786">
        <v>0</v>
      </c>
      <c r="F43" s="677">
        <f t="shared" si="0"/>
        <v>0</v>
      </c>
    </row>
    <row r="44" spans="1:6" s="77" customFormat="1" ht="23.1" customHeight="1" x14ac:dyDescent="0.2">
      <c r="A44" s="784" t="s">
        <v>352</v>
      </c>
      <c r="B44" s="552" t="s">
        <v>652</v>
      </c>
      <c r="C44" s="785"/>
      <c r="D44" s="785">
        <f>5000+1300</f>
        <v>6300</v>
      </c>
      <c r="E44" s="786">
        <v>0</v>
      </c>
      <c r="F44" s="677">
        <f t="shared" si="0"/>
        <v>0</v>
      </c>
    </row>
    <row r="45" spans="1:6" s="77" customFormat="1" ht="23.1" customHeight="1" x14ac:dyDescent="0.2">
      <c r="A45" s="784" t="s">
        <v>353</v>
      </c>
      <c r="B45" s="346" t="s">
        <v>662</v>
      </c>
      <c r="C45" s="785"/>
      <c r="D45" s="785">
        <v>4147</v>
      </c>
      <c r="E45" s="786">
        <v>4147</v>
      </c>
      <c r="F45" s="677">
        <f t="shared" si="0"/>
        <v>1</v>
      </c>
    </row>
    <row r="46" spans="1:6" s="77" customFormat="1" ht="23.1" customHeight="1" x14ac:dyDescent="0.2">
      <c r="A46" s="799" t="s">
        <v>354</v>
      </c>
      <c r="B46" s="730" t="s">
        <v>665</v>
      </c>
      <c r="C46" s="785"/>
      <c r="D46" s="785">
        <v>9500</v>
      </c>
      <c r="E46" s="800">
        <v>0</v>
      </c>
      <c r="F46" s="677">
        <f t="shared" si="0"/>
        <v>0</v>
      </c>
    </row>
    <row r="47" spans="1:6" s="77" customFormat="1" ht="23.1" customHeight="1" x14ac:dyDescent="0.2">
      <c r="A47" s="784" t="s">
        <v>355</v>
      </c>
      <c r="B47" s="346" t="s">
        <v>672</v>
      </c>
      <c r="C47" s="785"/>
      <c r="D47" s="785">
        <v>400000</v>
      </c>
      <c r="E47" s="786">
        <v>0</v>
      </c>
      <c r="F47" s="677">
        <f t="shared" si="0"/>
        <v>0</v>
      </c>
    </row>
    <row r="48" spans="1:6" s="77" customFormat="1" ht="30.75" customHeight="1" thickBot="1" x14ac:dyDescent="0.25">
      <c r="A48" s="331"/>
      <c r="B48" s="414" t="s">
        <v>162</v>
      </c>
      <c r="C48" s="585">
        <f>SUM(C4:C44)</f>
        <v>1793760</v>
      </c>
      <c r="D48" s="585">
        <f>SUM(D4:D47)</f>
        <v>2503233</v>
      </c>
      <c r="E48" s="585">
        <f>SUM(E4:E47)</f>
        <v>511817</v>
      </c>
      <c r="F48" s="678">
        <f t="shared" si="0"/>
        <v>0.20446238923823712</v>
      </c>
    </row>
    <row r="49" spans="1:6" s="77" customFormat="1" ht="23.1" customHeight="1" x14ac:dyDescent="0.2">
      <c r="A49" s="728"/>
      <c r="B49" s="348"/>
      <c r="C49" s="412"/>
      <c r="D49" s="413"/>
      <c r="E49" s="667"/>
      <c r="F49" s="679"/>
    </row>
    <row r="50" spans="1:6" s="77" customFormat="1" ht="23.1" customHeight="1" x14ac:dyDescent="0.2">
      <c r="A50" s="330" t="s">
        <v>260</v>
      </c>
      <c r="B50" s="426" t="s">
        <v>505</v>
      </c>
      <c r="C50" s="586">
        <v>9000</v>
      </c>
      <c r="D50" s="587">
        <v>9000</v>
      </c>
      <c r="E50" s="1119">
        <v>9000</v>
      </c>
      <c r="F50" s="680">
        <f>E50/D50</f>
        <v>1</v>
      </c>
    </row>
    <row r="51" spans="1:6" s="77" customFormat="1" ht="23.1" customHeight="1" x14ac:dyDescent="0.2">
      <c r="A51" s="330"/>
      <c r="B51" s="348"/>
      <c r="C51" s="412"/>
      <c r="D51" s="413"/>
      <c r="E51" s="666"/>
      <c r="F51" s="681"/>
    </row>
    <row r="52" spans="1:6" s="77" customFormat="1" ht="27" customHeight="1" thickBot="1" x14ac:dyDescent="0.25">
      <c r="A52" s="342"/>
      <c r="B52" s="339" t="s">
        <v>163</v>
      </c>
      <c r="C52" s="588">
        <f>SUM(C49:C51)</f>
        <v>9000</v>
      </c>
      <c r="D52" s="589">
        <f>SUM(D49:D51)</f>
        <v>9000</v>
      </c>
      <c r="E52" s="589">
        <f>SUM(E49:E51)</f>
        <v>9000</v>
      </c>
      <c r="F52" s="682">
        <f>E52/D52</f>
        <v>1</v>
      </c>
    </row>
    <row r="53" spans="1:6" s="77" customFormat="1" ht="27" customHeight="1" thickBot="1" x14ac:dyDescent="0.25">
      <c r="A53" s="354"/>
      <c r="B53" s="340" t="s">
        <v>164</v>
      </c>
      <c r="C53" s="53">
        <f>C48+C52</f>
        <v>1802760</v>
      </c>
      <c r="D53" s="53">
        <f>D48+D52</f>
        <v>2512233</v>
      </c>
      <c r="E53" s="53">
        <f>E48+E52</f>
        <v>520817</v>
      </c>
      <c r="F53" s="683">
        <f>E53/D53</f>
        <v>0.20731237906675057</v>
      </c>
    </row>
    <row r="54" spans="1:6" ht="13.5" thickTop="1" x14ac:dyDescent="0.2"/>
  </sheetData>
  <mergeCells count="3">
    <mergeCell ref="B1:B2"/>
    <mergeCell ref="C1:F1"/>
    <mergeCell ref="A1:A2"/>
  </mergeCells>
  <phoneticPr fontId="0" type="noConversion"/>
  <printOptions horizontalCentered="1"/>
  <pageMargins left="0.15748031496062992" right="0.15748031496062992" top="1.4240625" bottom="0.47244094488188981" header="0.78740157480314965" footer="0.27559055118110237"/>
  <pageSetup paperSize="8" scale="57" orientation="portrait" r:id="rId1"/>
  <headerFooter alignWithMargins="0">
    <oddHeader>&amp;L
&amp;C&amp;"Times New Roman CE,Félkövér"&amp;16Beruházások&amp;"Times New Roman CE,Normál"&amp;18
&amp;11/ezer Ft/&amp;R&amp;"Times New Roman,Normál"&amp;12 13. sz. melléklet</oddHeader>
    <oddFooter xml:space="preserve">&amp;R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F21"/>
  <sheetViews>
    <sheetView topLeftCell="A13" zoomScale="145" zoomScaleNormal="145" workbookViewId="0">
      <selection activeCell="E17" sqref="E17"/>
    </sheetView>
  </sheetViews>
  <sheetFormatPr defaultColWidth="8.85546875" defaultRowHeight="12.75" x14ac:dyDescent="0.2"/>
  <cols>
    <col min="1" max="1" width="8" style="336" customWidth="1"/>
    <col min="2" max="2" width="51.140625" style="41" bestFit="1" customWidth="1"/>
    <col min="3" max="5" width="12.7109375" style="41" customWidth="1"/>
    <col min="6" max="6" width="9.28515625" style="207" customWidth="1"/>
    <col min="7" max="16384" width="8.85546875" style="41"/>
  </cols>
  <sheetData>
    <row r="1" spans="1:6" ht="13.5" customHeight="1" thickTop="1" x14ac:dyDescent="0.2">
      <c r="A1" s="1293" t="s">
        <v>233</v>
      </c>
      <c r="B1" s="1226" t="s">
        <v>66</v>
      </c>
      <c r="C1" s="1295" t="s">
        <v>104</v>
      </c>
      <c r="D1" s="1254"/>
      <c r="E1" s="1254"/>
      <c r="F1" s="1296"/>
    </row>
    <row r="2" spans="1:6" ht="43.5" customHeight="1" thickBot="1" x14ac:dyDescent="0.25">
      <c r="A2" s="1275"/>
      <c r="B2" s="1297"/>
      <c r="C2" s="590" t="s">
        <v>561</v>
      </c>
      <c r="D2" s="591" t="s">
        <v>562</v>
      </c>
      <c r="E2" s="668" t="s">
        <v>606</v>
      </c>
      <c r="F2" s="783" t="s">
        <v>677</v>
      </c>
    </row>
    <row r="3" spans="1:6" s="77" customFormat="1" ht="25.5" customHeight="1" x14ac:dyDescent="0.2">
      <c r="A3" s="334"/>
      <c r="B3" s="344" t="s">
        <v>42</v>
      </c>
      <c r="C3" s="191"/>
      <c r="D3" s="192"/>
      <c r="E3" s="669"/>
      <c r="F3" s="592"/>
    </row>
    <row r="4" spans="1:6" s="77" customFormat="1" ht="23.1" customHeight="1" x14ac:dyDescent="0.2">
      <c r="A4" s="330" t="s">
        <v>250</v>
      </c>
      <c r="B4" s="348" t="s">
        <v>408</v>
      </c>
      <c r="C4" s="556">
        <v>320000</v>
      </c>
      <c r="D4" s="556">
        <f>11914+7278</f>
        <v>19192</v>
      </c>
      <c r="E4" s="670">
        <f>10929+1760+4988-8486</f>
        <v>9191</v>
      </c>
      <c r="F4" s="674">
        <f>E4/D4</f>
        <v>0.47889745727386412</v>
      </c>
    </row>
    <row r="5" spans="1:6" s="77" customFormat="1" ht="23.1" customHeight="1" x14ac:dyDescent="0.2">
      <c r="A5" s="330" t="s">
        <v>251</v>
      </c>
      <c r="B5" s="345" t="s">
        <v>244</v>
      </c>
      <c r="C5" s="593">
        <v>120000</v>
      </c>
      <c r="D5" s="556">
        <f>19553-6964-917-4541-5844</f>
        <v>1287</v>
      </c>
      <c r="E5" s="670">
        <f>1834-1334-500</f>
        <v>0</v>
      </c>
      <c r="F5" s="674">
        <f t="shared" ref="F5:F17" si="0">E5/D5</f>
        <v>0</v>
      </c>
    </row>
    <row r="6" spans="1:6" s="77" customFormat="1" ht="23.1" customHeight="1" x14ac:dyDescent="0.2">
      <c r="A6" s="330" t="s">
        <v>252</v>
      </c>
      <c r="B6" s="345" t="s">
        <v>515</v>
      </c>
      <c r="C6" s="593">
        <v>13335</v>
      </c>
      <c r="D6" s="556">
        <v>13335</v>
      </c>
      <c r="E6" s="670">
        <f>6417+1733</f>
        <v>8150</v>
      </c>
      <c r="F6" s="674">
        <f t="shared" si="0"/>
        <v>0.61117360329958759</v>
      </c>
    </row>
    <row r="7" spans="1:6" s="77" customFormat="1" ht="23.1" customHeight="1" x14ac:dyDescent="0.2">
      <c r="A7" s="330" t="s">
        <v>253</v>
      </c>
      <c r="B7" s="345" t="s">
        <v>423</v>
      </c>
      <c r="C7" s="593">
        <v>9000</v>
      </c>
      <c r="D7" s="556">
        <v>9000</v>
      </c>
      <c r="E7" s="670">
        <f>6940+1874</f>
        <v>8814</v>
      </c>
      <c r="F7" s="674">
        <f t="shared" si="0"/>
        <v>0.97933333333333328</v>
      </c>
    </row>
    <row r="8" spans="1:6" s="77" customFormat="1" ht="23.1" customHeight="1" x14ac:dyDescent="0.2">
      <c r="A8" s="330" t="s">
        <v>267</v>
      </c>
      <c r="B8" s="345" t="s">
        <v>494</v>
      </c>
      <c r="C8" s="555">
        <v>20000</v>
      </c>
      <c r="D8" s="556">
        <v>20000</v>
      </c>
      <c r="E8" s="672">
        <v>20000</v>
      </c>
      <c r="F8" s="674">
        <f t="shared" si="0"/>
        <v>1</v>
      </c>
    </row>
    <row r="9" spans="1:6" s="77" customFormat="1" ht="23.1" customHeight="1" x14ac:dyDescent="0.2">
      <c r="A9" s="537" t="s">
        <v>268</v>
      </c>
      <c r="B9" s="553" t="s">
        <v>559</v>
      </c>
      <c r="C9" s="555">
        <v>5100</v>
      </c>
      <c r="D9" s="556">
        <v>5100</v>
      </c>
      <c r="E9" s="672">
        <v>4424</v>
      </c>
      <c r="F9" s="674">
        <f t="shared" si="0"/>
        <v>0.86745098039215685</v>
      </c>
    </row>
    <row r="10" spans="1:6" s="77" customFormat="1" ht="23.1" customHeight="1" x14ac:dyDescent="0.2">
      <c r="A10" s="537" t="s">
        <v>269</v>
      </c>
      <c r="B10" s="553" t="s">
        <v>518</v>
      </c>
      <c r="C10" s="555">
        <v>5000</v>
      </c>
      <c r="D10" s="556">
        <v>5000</v>
      </c>
      <c r="E10" s="672">
        <v>4820</v>
      </c>
      <c r="F10" s="674">
        <f t="shared" si="0"/>
        <v>0.96399999999999997</v>
      </c>
    </row>
    <row r="11" spans="1:6" s="77" customFormat="1" ht="23.1" customHeight="1" x14ac:dyDescent="0.2">
      <c r="A11" s="537" t="s">
        <v>271</v>
      </c>
      <c r="B11" s="553" t="s">
        <v>519</v>
      </c>
      <c r="C11" s="556">
        <v>58843</v>
      </c>
      <c r="D11" s="556">
        <v>0</v>
      </c>
      <c r="E11" s="735">
        <v>0</v>
      </c>
      <c r="F11" s="674">
        <v>0</v>
      </c>
    </row>
    <row r="12" spans="1:6" s="77" customFormat="1" ht="23.1" customHeight="1" x14ac:dyDescent="0.2">
      <c r="A12" s="330" t="s">
        <v>272</v>
      </c>
      <c r="B12" s="345" t="s">
        <v>522</v>
      </c>
      <c r="C12" s="593">
        <v>87408</v>
      </c>
      <c r="D12" s="556">
        <v>0</v>
      </c>
      <c r="E12" s="673">
        <v>0</v>
      </c>
      <c r="F12" s="674">
        <v>0</v>
      </c>
    </row>
    <row r="13" spans="1:6" s="77" customFormat="1" ht="23.1" customHeight="1" x14ac:dyDescent="0.2">
      <c r="A13" s="537" t="s">
        <v>273</v>
      </c>
      <c r="B13" s="553" t="s">
        <v>524</v>
      </c>
      <c r="C13" s="561">
        <v>120000</v>
      </c>
      <c r="D13" s="556">
        <v>131779</v>
      </c>
      <c r="E13" s="735">
        <f>25+975</f>
        <v>1000</v>
      </c>
      <c r="F13" s="674">
        <f t="shared" si="0"/>
        <v>7.5884625016125482E-3</v>
      </c>
    </row>
    <row r="14" spans="1:6" s="77" customFormat="1" ht="23.1" customHeight="1" x14ac:dyDescent="0.2">
      <c r="A14" s="330" t="s">
        <v>274</v>
      </c>
      <c r="B14" s="553" t="s">
        <v>591</v>
      </c>
      <c r="C14" s="593"/>
      <c r="D14" s="672">
        <v>8486</v>
      </c>
      <c r="E14" s="673">
        <v>8486</v>
      </c>
      <c r="F14" s="674">
        <f t="shared" si="0"/>
        <v>1</v>
      </c>
    </row>
    <row r="15" spans="1:6" s="77" customFormat="1" ht="23.1" customHeight="1" x14ac:dyDescent="0.2">
      <c r="A15" s="330" t="s">
        <v>275</v>
      </c>
      <c r="B15" s="730" t="s">
        <v>655</v>
      </c>
      <c r="C15" s="731"/>
      <c r="D15" s="670">
        <v>1765</v>
      </c>
      <c r="E15" s="670">
        <f>1334+265</f>
        <v>1599</v>
      </c>
      <c r="F15" s="674">
        <f t="shared" si="0"/>
        <v>0.90594900849858362</v>
      </c>
    </row>
    <row r="16" spans="1:6" s="77" customFormat="1" ht="23.1" customHeight="1" x14ac:dyDescent="0.2">
      <c r="A16" s="693" t="s">
        <v>276</v>
      </c>
      <c r="B16" s="730" t="s">
        <v>619</v>
      </c>
      <c r="C16" s="732"/>
      <c r="D16" s="670">
        <v>1746</v>
      </c>
      <c r="E16" s="670">
        <v>0</v>
      </c>
      <c r="F16" s="674">
        <f t="shared" si="0"/>
        <v>0</v>
      </c>
    </row>
    <row r="17" spans="1:6" s="77" customFormat="1" ht="23.1" customHeight="1" x14ac:dyDescent="0.2">
      <c r="A17" s="693" t="s">
        <v>277</v>
      </c>
      <c r="B17" s="733" t="s">
        <v>620</v>
      </c>
      <c r="C17" s="734"/>
      <c r="D17" s="735">
        <f>926+10000</f>
        <v>10926</v>
      </c>
      <c r="E17" s="735">
        <v>762</v>
      </c>
      <c r="F17" s="674">
        <f t="shared" si="0"/>
        <v>6.9741900054914888E-2</v>
      </c>
    </row>
    <row r="18" spans="1:6" s="77" customFormat="1" ht="23.1" customHeight="1" x14ac:dyDescent="0.2">
      <c r="A18" s="693"/>
      <c r="B18" s="346"/>
      <c r="C18" s="729"/>
      <c r="D18" s="788"/>
      <c r="E18" s="673"/>
      <c r="F18" s="772"/>
    </row>
    <row r="19" spans="1:6" s="77" customFormat="1" ht="23.1" customHeight="1" thickBot="1" x14ac:dyDescent="0.25">
      <c r="A19" s="330"/>
      <c r="B19" s="347"/>
      <c r="C19" s="561"/>
      <c r="D19" s="565"/>
      <c r="E19" s="671"/>
      <c r="F19" s="675"/>
    </row>
    <row r="20" spans="1:6" s="77" customFormat="1" ht="34.5" customHeight="1" thickBot="1" x14ac:dyDescent="0.25">
      <c r="A20" s="354"/>
      <c r="B20" s="340" t="s">
        <v>165</v>
      </c>
      <c r="C20" s="52">
        <f>SUM(C4:C19)</f>
        <v>758686</v>
      </c>
      <c r="D20" s="52">
        <f>SUM(D4:D19)</f>
        <v>227616</v>
      </c>
      <c r="E20" s="52">
        <f t="shared" ref="E20" si="1">SUM(E4:E19)</f>
        <v>67246</v>
      </c>
      <c r="F20" s="676">
        <f>E20/D20</f>
        <v>0.29543617320399268</v>
      </c>
    </row>
    <row r="21" spans="1:6" ht="13.5" thickTop="1" x14ac:dyDescent="0.2"/>
  </sheetData>
  <mergeCells count="3">
    <mergeCell ref="B1:B2"/>
    <mergeCell ref="C1:F1"/>
    <mergeCell ref="A1:A2"/>
  </mergeCells>
  <phoneticPr fontId="36" type="noConversion"/>
  <printOptions horizontalCentered="1"/>
  <pageMargins left="0.51181102362204722" right="0.23622047244094491" top="1.5748031496062993" bottom="0.98425196850393704" header="0.82677165354330717" footer="0.51181102362204722"/>
  <pageSetup paperSize="8" scale="91" orientation="portrait" r:id="rId1"/>
  <headerFooter alignWithMargins="0">
    <oddHeader>&amp;C&amp;"Times New Roman,Félkövér"&amp;16Felújítások
&amp;"Times New Roman,Normál"&amp;12/ezer Ft/&amp;R&amp;"Times New Roman,Normál"&amp;12 14.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S27"/>
  <sheetViews>
    <sheetView zoomScaleNormal="100" workbookViewId="0">
      <selection activeCell="O22" sqref="O22"/>
    </sheetView>
  </sheetViews>
  <sheetFormatPr defaultColWidth="9.140625" defaultRowHeight="12.75" x14ac:dyDescent="0.2"/>
  <cols>
    <col min="1" max="1" width="29.42578125" style="55" customWidth="1"/>
    <col min="2" max="3" width="8.28515625" style="55" customWidth="1"/>
    <col min="4" max="4" width="7.140625" style="55" customWidth="1"/>
    <col min="5" max="5" width="9.5703125" style="55" customWidth="1"/>
    <col min="6" max="6" width="10.5703125" style="55" customWidth="1"/>
    <col min="7" max="7" width="8" style="55" customWidth="1"/>
    <col min="8" max="8" width="9.28515625" style="55" bestFit="1" customWidth="1"/>
    <col min="9" max="9" width="7.85546875" style="55" customWidth="1"/>
    <col min="10" max="10" width="9" style="55" customWidth="1"/>
    <col min="11" max="11" width="10.7109375" style="55" customWidth="1"/>
    <col min="12" max="12" width="8.140625" style="55" customWidth="1"/>
    <col min="13" max="13" width="8.7109375" style="55" bestFit="1" customWidth="1"/>
    <col min="14" max="14" width="8.7109375" style="55" customWidth="1"/>
    <col min="15" max="15" width="9.28515625" style="55" customWidth="1"/>
    <col min="16" max="16" width="10.28515625" style="55" customWidth="1"/>
    <col min="17" max="17" width="9.7109375" style="55" customWidth="1"/>
    <col min="18" max="16384" width="9.140625" style="1"/>
  </cols>
  <sheetData>
    <row r="1" spans="1:19" ht="23.25" customHeight="1" thickTop="1" x14ac:dyDescent="0.2">
      <c r="A1" s="1212" t="s">
        <v>66</v>
      </c>
      <c r="B1" s="374" t="s">
        <v>565</v>
      </c>
      <c r="C1" s="9"/>
      <c r="D1" s="59"/>
      <c r="E1" s="59"/>
      <c r="F1" s="147"/>
      <c r="G1" s="9" t="s">
        <v>566</v>
      </c>
      <c r="H1" s="9"/>
      <c r="I1" s="59"/>
      <c r="J1" s="59"/>
      <c r="K1" s="147"/>
      <c r="L1" s="1214" t="s">
        <v>606</v>
      </c>
      <c r="M1" s="1215"/>
      <c r="N1" s="1215"/>
      <c r="O1" s="1215"/>
      <c r="P1" s="1215"/>
      <c r="Q1" s="1216" t="s">
        <v>402</v>
      </c>
    </row>
    <row r="2" spans="1:19" ht="29.25" customHeight="1" thickBot="1" x14ac:dyDescent="0.25">
      <c r="A2" s="1213"/>
      <c r="B2" s="366" t="s">
        <v>67</v>
      </c>
      <c r="C2" s="4" t="s">
        <v>119</v>
      </c>
      <c r="D2" s="2" t="s">
        <v>68</v>
      </c>
      <c r="E2" s="2" t="s">
        <v>69</v>
      </c>
      <c r="F2" s="3" t="s">
        <v>63</v>
      </c>
      <c r="G2" s="2" t="s">
        <v>67</v>
      </c>
      <c r="H2" s="4" t="s">
        <v>119</v>
      </c>
      <c r="I2" s="2" t="s">
        <v>68</v>
      </c>
      <c r="J2" s="2" t="s">
        <v>69</v>
      </c>
      <c r="K2" s="3" t="s">
        <v>63</v>
      </c>
      <c r="L2" s="149" t="s">
        <v>67</v>
      </c>
      <c r="M2" s="4" t="s">
        <v>119</v>
      </c>
      <c r="N2" s="2" t="s">
        <v>68</v>
      </c>
      <c r="O2" s="139" t="s">
        <v>69</v>
      </c>
      <c r="P2" s="2" t="s">
        <v>63</v>
      </c>
      <c r="Q2" s="1217"/>
    </row>
    <row r="3" spans="1:19" s="298" customFormat="1" ht="27" customHeight="1" x14ac:dyDescent="0.2">
      <c r="A3" s="10" t="s">
        <v>30</v>
      </c>
      <c r="B3" s="293">
        <v>39000</v>
      </c>
      <c r="C3" s="294">
        <v>465230</v>
      </c>
      <c r="D3" s="294"/>
      <c r="E3" s="105">
        <f>F3-B3-C3-D3</f>
        <v>72923</v>
      </c>
      <c r="F3" s="295">
        <f>'8a-Intézmények kiadása'!I3</f>
        <v>577153</v>
      </c>
      <c r="G3" s="618">
        <v>38890</v>
      </c>
      <c r="H3" s="619">
        <v>514248</v>
      </c>
      <c r="I3" s="619">
        <v>39813</v>
      </c>
      <c r="J3" s="620">
        <f>K3-H3-G3-I3</f>
        <v>90910</v>
      </c>
      <c r="K3" s="621">
        <f>'8a-Intézmények kiadása'!Q3</f>
        <v>683861</v>
      </c>
      <c r="L3" s="293">
        <v>38890</v>
      </c>
      <c r="M3" s="294">
        <v>512233</v>
      </c>
      <c r="N3" s="294">
        <v>39813</v>
      </c>
      <c r="O3" s="296">
        <v>90910</v>
      </c>
      <c r="P3" s="297">
        <f>SUM(L3:O3)</f>
        <v>681846</v>
      </c>
      <c r="Q3" s="775">
        <f>O3/J3</f>
        <v>1</v>
      </c>
    </row>
    <row r="4" spans="1:19" ht="18" customHeight="1" x14ac:dyDescent="0.2">
      <c r="A4" s="8" t="s">
        <v>225</v>
      </c>
      <c r="B4" s="367"/>
      <c r="C4" s="291"/>
      <c r="D4" s="33"/>
      <c r="E4" s="189">
        <v>22402</v>
      </c>
      <c r="F4" s="303">
        <f>'8a-Intézmények kiadása'!I4</f>
        <v>22402</v>
      </c>
      <c r="G4" s="622"/>
      <c r="H4" s="623"/>
      <c r="I4" s="604"/>
      <c r="J4" s="624">
        <v>17451</v>
      </c>
      <c r="K4" s="625">
        <f>'8a-Intézmények kiadása'!Q4</f>
        <v>17451</v>
      </c>
      <c r="L4" s="290"/>
      <c r="M4" s="291"/>
      <c r="N4" s="291"/>
      <c r="O4" s="304">
        <v>17451</v>
      </c>
      <c r="P4" s="303">
        <f t="shared" ref="P4:P14" si="0">SUM(L4:O4)</f>
        <v>17451</v>
      </c>
      <c r="Q4" s="776"/>
    </row>
    <row r="5" spans="1:19" ht="18" customHeight="1" x14ac:dyDescent="0.2">
      <c r="A5" s="8" t="s">
        <v>228</v>
      </c>
      <c r="B5" s="367">
        <f>B3-B4</f>
        <v>39000</v>
      </c>
      <c r="C5" s="291">
        <f>C3-C4</f>
        <v>465230</v>
      </c>
      <c r="D5" s="33">
        <f>D3-D4</f>
        <v>0</v>
      </c>
      <c r="E5" s="189">
        <f>F5-B5-D5-C5</f>
        <v>50521</v>
      </c>
      <c r="F5" s="303">
        <f>'8a-Intézmények kiadása'!I5</f>
        <v>554751</v>
      </c>
      <c r="G5" s="622">
        <f>G3-G4</f>
        <v>38890</v>
      </c>
      <c r="H5" s="623">
        <f>H3-H4</f>
        <v>514248</v>
      </c>
      <c r="I5" s="609">
        <f>I3-I4</f>
        <v>39813</v>
      </c>
      <c r="J5" s="624">
        <f>K5-G5-I5-H5</f>
        <v>73459</v>
      </c>
      <c r="K5" s="625">
        <f>'8a-Intézmények kiadása'!Q5</f>
        <v>666410</v>
      </c>
      <c r="L5" s="290">
        <f>L3-L4</f>
        <v>38890</v>
      </c>
      <c r="M5" s="291">
        <f>M3-M4</f>
        <v>512233</v>
      </c>
      <c r="N5" s="291">
        <f>N3-N4</f>
        <v>39813</v>
      </c>
      <c r="O5" s="291">
        <f>O3-O4</f>
        <v>73459</v>
      </c>
      <c r="P5" s="303">
        <f t="shared" si="0"/>
        <v>664395</v>
      </c>
      <c r="Q5" s="776"/>
    </row>
    <row r="6" spans="1:19" s="298" customFormat="1" ht="27" customHeight="1" x14ac:dyDescent="0.2">
      <c r="A6" s="10" t="s">
        <v>363</v>
      </c>
      <c r="B6" s="368"/>
      <c r="C6" s="300"/>
      <c r="D6" s="45"/>
      <c r="E6" s="105">
        <f>F6-B6-D6</f>
        <v>571711</v>
      </c>
      <c r="F6" s="295">
        <f>'8a-Intézmények kiadása'!I6</f>
        <v>571711</v>
      </c>
      <c r="G6" s="626">
        <v>401</v>
      </c>
      <c r="H6" s="627">
        <v>76</v>
      </c>
      <c r="I6" s="628">
        <v>19072</v>
      </c>
      <c r="J6" s="629">
        <f>K6-G6-H6-I6</f>
        <v>605424</v>
      </c>
      <c r="K6" s="630">
        <f>'8a-Intézmények kiadása'!Q6</f>
        <v>624973</v>
      </c>
      <c r="L6" s="299">
        <v>401</v>
      </c>
      <c r="M6" s="300">
        <v>76</v>
      </c>
      <c r="N6" s="300">
        <v>19072</v>
      </c>
      <c r="O6" s="296">
        <v>605424</v>
      </c>
      <c r="P6" s="301">
        <f>SUM(L6:O6)</f>
        <v>624973</v>
      </c>
      <c r="Q6" s="775">
        <f>O6/J6</f>
        <v>1</v>
      </c>
    </row>
    <row r="7" spans="1:19" ht="18" customHeight="1" x14ac:dyDescent="0.2">
      <c r="A7" s="8" t="s">
        <v>225</v>
      </c>
      <c r="B7" s="369"/>
      <c r="C7" s="109"/>
      <c r="D7" s="33"/>
      <c r="E7" s="189"/>
      <c r="F7" s="303">
        <f>'8a-Intézmények kiadása'!I7</f>
        <v>571711</v>
      </c>
      <c r="G7" s="631">
        <f>G6-G8</f>
        <v>401</v>
      </c>
      <c r="H7" s="609">
        <f>H6-H8</f>
        <v>76</v>
      </c>
      <c r="I7" s="604">
        <f>I6-I8</f>
        <v>19072</v>
      </c>
      <c r="J7" s="624">
        <f>K7-G7-H7-I7</f>
        <v>605424</v>
      </c>
      <c r="K7" s="625">
        <f>'8a-Intézmények kiadása'!Q7</f>
        <v>624973</v>
      </c>
      <c r="L7" s="84">
        <f>L6-L8</f>
        <v>401</v>
      </c>
      <c r="M7" s="109">
        <f>M6-M8</f>
        <v>76</v>
      </c>
      <c r="N7" s="109">
        <f>N6-N8</f>
        <v>19072</v>
      </c>
      <c r="O7" s="109">
        <f>O6-O8</f>
        <v>605424</v>
      </c>
      <c r="P7" s="303">
        <f t="shared" si="0"/>
        <v>624973</v>
      </c>
      <c r="Q7" s="776"/>
    </row>
    <row r="8" spans="1:19" ht="18" customHeight="1" x14ac:dyDescent="0.2">
      <c r="A8" s="8" t="s">
        <v>228</v>
      </c>
      <c r="B8" s="369"/>
      <c r="C8" s="109"/>
      <c r="D8" s="33"/>
      <c r="E8" s="189">
        <f t="shared" ref="E8:E25" si="1">F8-B8-D8</f>
        <v>0</v>
      </c>
      <c r="F8" s="303">
        <f>'8a-Intézmények kiadása'!I8</f>
        <v>0</v>
      </c>
      <c r="G8" s="631"/>
      <c r="H8" s="609"/>
      <c r="I8" s="604"/>
      <c r="J8" s="624">
        <f>K8-G8-I8-H8</f>
        <v>0</v>
      </c>
      <c r="K8" s="625">
        <f>'8a-Intézmények kiadása'!Q8</f>
        <v>0</v>
      </c>
      <c r="L8" s="84"/>
      <c r="M8" s="109"/>
      <c r="N8" s="109"/>
      <c r="O8" s="303"/>
      <c r="P8" s="303">
        <f t="shared" si="0"/>
        <v>0</v>
      </c>
      <c r="Q8" s="776"/>
    </row>
    <row r="9" spans="1:19" s="298" customFormat="1" ht="24" customHeight="1" x14ac:dyDescent="0.2">
      <c r="A9" s="10" t="s">
        <v>97</v>
      </c>
      <c r="B9" s="299">
        <v>31201</v>
      </c>
      <c r="C9" s="300"/>
      <c r="D9" s="45"/>
      <c r="E9" s="105">
        <f t="shared" si="1"/>
        <v>275017</v>
      </c>
      <c r="F9" s="295">
        <f>'8a-Intézmények kiadása'!I9</f>
        <v>306218</v>
      </c>
      <c r="G9" s="626">
        <v>13754</v>
      </c>
      <c r="H9" s="627">
        <v>2276</v>
      </c>
      <c r="I9" s="627">
        <v>19035</v>
      </c>
      <c r="J9" s="629">
        <f>K9-G9-H9-I9</f>
        <v>253249</v>
      </c>
      <c r="K9" s="630">
        <f>'8a-Intézmények kiadása'!Q9</f>
        <v>288314</v>
      </c>
      <c r="L9" s="299">
        <v>13969</v>
      </c>
      <c r="M9" s="300">
        <v>2276</v>
      </c>
      <c r="N9" s="300">
        <v>19035</v>
      </c>
      <c r="O9" s="296">
        <v>253249</v>
      </c>
      <c r="P9" s="301">
        <f>SUM(L9:O9)</f>
        <v>288529</v>
      </c>
      <c r="Q9" s="775">
        <f>O9/J9</f>
        <v>1</v>
      </c>
    </row>
    <row r="10" spans="1:19" ht="18" customHeight="1" x14ac:dyDescent="0.2">
      <c r="A10" s="8" t="s">
        <v>225</v>
      </c>
      <c r="B10" s="369">
        <f>B9-B11</f>
        <v>26201</v>
      </c>
      <c r="C10" s="109"/>
      <c r="D10" s="33"/>
      <c r="E10" s="189">
        <f t="shared" si="1"/>
        <v>275017</v>
      </c>
      <c r="F10" s="110">
        <f>'8a-Intézmények kiadása'!I10</f>
        <v>301218</v>
      </c>
      <c r="G10" s="631">
        <f>G9-G11</f>
        <v>7957</v>
      </c>
      <c r="H10" s="609">
        <f>H9-H11</f>
        <v>2276</v>
      </c>
      <c r="I10" s="604">
        <f>I9-I11</f>
        <v>19035</v>
      </c>
      <c r="J10" s="624">
        <f>K10-G10-H10-I10</f>
        <v>253249</v>
      </c>
      <c r="K10" s="632">
        <f>'8a-Intézmények kiadása'!Q10</f>
        <v>282517</v>
      </c>
      <c r="L10" s="84">
        <f>L9-L11</f>
        <v>10564</v>
      </c>
      <c r="M10" s="109">
        <f>M9-M11</f>
        <v>2276</v>
      </c>
      <c r="N10" s="109">
        <f>N9-N11</f>
        <v>19035</v>
      </c>
      <c r="O10" s="109">
        <f>O9-O11</f>
        <v>253249</v>
      </c>
      <c r="P10" s="110">
        <f t="shared" si="0"/>
        <v>285124</v>
      </c>
      <c r="Q10" s="776"/>
    </row>
    <row r="11" spans="1:19" ht="18" customHeight="1" x14ac:dyDescent="0.2">
      <c r="A11" s="8" t="s">
        <v>228</v>
      </c>
      <c r="B11" s="369">
        <v>5000</v>
      </c>
      <c r="C11" s="109"/>
      <c r="D11" s="33"/>
      <c r="E11" s="189">
        <f t="shared" si="1"/>
        <v>0</v>
      </c>
      <c r="F11" s="110">
        <f>'8a-Intézmények kiadása'!I11</f>
        <v>5000</v>
      </c>
      <c r="G11" s="631">
        <v>5797</v>
      </c>
      <c r="H11" s="609"/>
      <c r="I11" s="604"/>
      <c r="J11" s="624">
        <f>K11-G11-I11-H11</f>
        <v>0</v>
      </c>
      <c r="K11" s="632">
        <f>'8a-Intézmények kiadása'!Q11</f>
        <v>5797</v>
      </c>
      <c r="L11" s="84">
        <v>3405</v>
      </c>
      <c r="M11" s="109"/>
      <c r="N11" s="109"/>
      <c r="O11" s="303"/>
      <c r="P11" s="110">
        <f t="shared" si="0"/>
        <v>3405</v>
      </c>
      <c r="Q11" s="776"/>
    </row>
    <row r="12" spans="1:19" s="298" customFormat="1" ht="24" customHeight="1" x14ac:dyDescent="0.2">
      <c r="A12" s="10" t="s">
        <v>98</v>
      </c>
      <c r="B12" s="368">
        <v>2400</v>
      </c>
      <c r="C12" s="300"/>
      <c r="D12" s="45"/>
      <c r="E12" s="105">
        <f t="shared" si="1"/>
        <v>20205</v>
      </c>
      <c r="F12" s="295">
        <f>'8a-Intézmények kiadása'!I12</f>
        <v>22605</v>
      </c>
      <c r="G12" s="626">
        <v>2407</v>
      </c>
      <c r="H12" s="627">
        <v>3120</v>
      </c>
      <c r="I12" s="627">
        <v>1671</v>
      </c>
      <c r="J12" s="629">
        <f>K12-G12-H12-I12</f>
        <v>21757</v>
      </c>
      <c r="K12" s="630">
        <f>'8a-Intézmények kiadása'!Q12</f>
        <v>28955</v>
      </c>
      <c r="L12" s="299">
        <v>1245</v>
      </c>
      <c r="M12" s="300">
        <v>3120</v>
      </c>
      <c r="N12" s="300">
        <v>1671</v>
      </c>
      <c r="O12" s="296">
        <v>21757</v>
      </c>
      <c r="P12" s="301">
        <f>SUM(L12:O12)</f>
        <v>27793</v>
      </c>
      <c r="Q12" s="775">
        <f>O12/J12</f>
        <v>1</v>
      </c>
    </row>
    <row r="13" spans="1:19" ht="18" customHeight="1" x14ac:dyDescent="0.2">
      <c r="A13" s="8" t="s">
        <v>225</v>
      </c>
      <c r="B13" s="369"/>
      <c r="C13" s="109"/>
      <c r="D13" s="33"/>
      <c r="E13" s="189">
        <f t="shared" si="1"/>
        <v>0</v>
      </c>
      <c r="F13" s="303">
        <f>'8a-Intézmények kiadása'!I13</f>
        <v>0</v>
      </c>
      <c r="G13" s="631"/>
      <c r="H13" s="609"/>
      <c r="I13" s="604"/>
      <c r="J13" s="624">
        <f>K13-G13-I13-H13</f>
        <v>0</v>
      </c>
      <c r="K13" s="625">
        <f>'8a-Intézmények kiadása'!Q13</f>
        <v>0</v>
      </c>
      <c r="L13" s="84"/>
      <c r="M13" s="109"/>
      <c r="N13" s="109"/>
      <c r="O13" s="303"/>
      <c r="P13" s="303">
        <f t="shared" si="0"/>
        <v>0</v>
      </c>
      <c r="Q13" s="776"/>
    </row>
    <row r="14" spans="1:19" ht="18" customHeight="1" x14ac:dyDescent="0.2">
      <c r="A14" s="8" t="s">
        <v>228</v>
      </c>
      <c r="B14" s="369">
        <v>2400</v>
      </c>
      <c r="C14" s="109"/>
      <c r="D14" s="33"/>
      <c r="E14" s="189">
        <v>20815</v>
      </c>
      <c r="F14" s="303">
        <f>'8a-Intézmények kiadása'!I14</f>
        <v>22605</v>
      </c>
      <c r="G14" s="631">
        <f>G12</f>
        <v>2407</v>
      </c>
      <c r="H14" s="609">
        <f>H12</f>
        <v>3120</v>
      </c>
      <c r="I14" s="609">
        <f>I12</f>
        <v>1671</v>
      </c>
      <c r="J14" s="624">
        <f>K14-G14-I14-H14</f>
        <v>21757</v>
      </c>
      <c r="K14" s="625">
        <f>'8a-Intézmények kiadása'!Q14</f>
        <v>28955</v>
      </c>
      <c r="L14" s="84">
        <f>L12</f>
        <v>1245</v>
      </c>
      <c r="M14" s="109">
        <f>M12</f>
        <v>3120</v>
      </c>
      <c r="N14" s="109">
        <f>N12</f>
        <v>1671</v>
      </c>
      <c r="O14" s="109">
        <f>O12</f>
        <v>21757</v>
      </c>
      <c r="P14" s="303">
        <f t="shared" si="0"/>
        <v>27793</v>
      </c>
      <c r="Q14" s="776"/>
    </row>
    <row r="15" spans="1:19" s="298" customFormat="1" ht="24" customHeight="1" x14ac:dyDescent="0.2">
      <c r="A15" s="10" t="s">
        <v>70</v>
      </c>
      <c r="B15" s="368">
        <f>'3-Egyéb bevételek'!C19+'7-Vagyonhasznositási bevétel'!C10</f>
        <v>36408</v>
      </c>
      <c r="C15" s="300"/>
      <c r="D15" s="45"/>
      <c r="E15" s="105">
        <f t="shared" si="1"/>
        <v>440893</v>
      </c>
      <c r="F15" s="295">
        <f>'8a-Intézmények kiadása'!I15</f>
        <v>477301</v>
      </c>
      <c r="G15" s="626">
        <f>'3-Egyéb bevételek'!D19+'7-Vagyonhasznositási bevétel'!D10</f>
        <v>25658</v>
      </c>
      <c r="H15" s="627">
        <f>SUM(H16:H18)</f>
        <v>3320</v>
      </c>
      <c r="I15" s="627">
        <f>SUM(I16:I18)</f>
        <v>147402</v>
      </c>
      <c r="J15" s="629">
        <f>K15-G15-H15-I15</f>
        <v>473473</v>
      </c>
      <c r="K15" s="630">
        <f>'8a-Intézmények kiadása'!Q15</f>
        <v>649853</v>
      </c>
      <c r="L15" s="299">
        <f>'3-Egyéb bevételek'!E19+'7-Vagyonhasznositási bevétel'!E10</f>
        <v>43642</v>
      </c>
      <c r="M15" s="453">
        <f>SUM(M16:M18)</f>
        <v>3311</v>
      </c>
      <c r="N15" s="453">
        <f>SUM(N16:N18)</f>
        <v>147402</v>
      </c>
      <c r="O15" s="453">
        <f>SUM(O16:O18)</f>
        <v>473473</v>
      </c>
      <c r="P15" s="301">
        <f>SUM(L15:O15)</f>
        <v>667828</v>
      </c>
      <c r="Q15" s="775">
        <f>O15/J15</f>
        <v>1</v>
      </c>
      <c r="S15" s="302"/>
    </row>
    <row r="16" spans="1:19" ht="18" customHeight="1" x14ac:dyDescent="0.2">
      <c r="A16" s="8" t="s">
        <v>225</v>
      </c>
      <c r="B16" s="370">
        <v>34608</v>
      </c>
      <c r="C16" s="33"/>
      <c r="D16" s="33"/>
      <c r="E16" s="189">
        <f t="shared" si="1"/>
        <v>401971</v>
      </c>
      <c r="F16" s="303">
        <f>'8a-Intézmények kiadása'!I16</f>
        <v>436579</v>
      </c>
      <c r="G16" s="633">
        <f>G15-G17-G18</f>
        <v>26622</v>
      </c>
      <c r="H16" s="604">
        <f>'Ig bev.'!G39</f>
        <v>1496</v>
      </c>
      <c r="I16" s="604">
        <v>147402</v>
      </c>
      <c r="J16" s="624">
        <f>K16-G16-I16-H16</f>
        <v>442938</v>
      </c>
      <c r="K16" s="625">
        <f>K15-K17-K18</f>
        <v>618458</v>
      </c>
      <c r="L16" s="141">
        <f>L15-L17-L18</f>
        <v>40878</v>
      </c>
      <c r="M16" s="33">
        <f>'Ig bev.'!H39</f>
        <v>1487</v>
      </c>
      <c r="N16" s="15">
        <v>147402</v>
      </c>
      <c r="O16" s="303">
        <f>466743+6730</f>
        <v>473473</v>
      </c>
      <c r="P16" s="303">
        <f t="shared" ref="P16:P18" si="2">SUM(L16:O16)</f>
        <v>663240</v>
      </c>
      <c r="Q16" s="776"/>
      <c r="S16" s="271"/>
    </row>
    <row r="17" spans="1:19" ht="18" customHeight="1" x14ac:dyDescent="0.2">
      <c r="A17" s="8" t="s">
        <v>228</v>
      </c>
      <c r="B17" s="370">
        <v>200</v>
      </c>
      <c r="C17" s="33"/>
      <c r="D17" s="33"/>
      <c r="E17" s="189">
        <f t="shared" si="1"/>
        <v>15541</v>
      </c>
      <c r="F17" s="303">
        <f>'8a-Intézmények kiadása'!I17</f>
        <v>15741</v>
      </c>
      <c r="G17" s="633">
        <f>B17-L17</f>
        <v>-294</v>
      </c>
      <c r="H17" s="604"/>
      <c r="I17" s="604"/>
      <c r="J17" s="624">
        <f>K17-G17-I17-H17</f>
        <v>16039</v>
      </c>
      <c r="K17" s="625">
        <f>'8a-Intézmények kiadása'!Q17</f>
        <v>15745</v>
      </c>
      <c r="L17" s="141">
        <f>'3-Egyéb bevételek'!E16</f>
        <v>494</v>
      </c>
      <c r="M17" s="33"/>
      <c r="N17" s="292"/>
      <c r="O17" s="303"/>
      <c r="P17" s="301">
        <f t="shared" si="2"/>
        <v>494</v>
      </c>
      <c r="Q17" s="776"/>
      <c r="S17" s="271"/>
    </row>
    <row r="18" spans="1:19" ht="18" customHeight="1" x14ac:dyDescent="0.2">
      <c r="A18" s="8" t="s">
        <v>229</v>
      </c>
      <c r="B18" s="370">
        <v>1600</v>
      </c>
      <c r="C18" s="33"/>
      <c r="D18" s="33"/>
      <c r="E18" s="189">
        <f t="shared" si="1"/>
        <v>23381</v>
      </c>
      <c r="F18" s="303">
        <f>'8a-Intézmények kiadása'!I18</f>
        <v>24981</v>
      </c>
      <c r="G18" s="633">
        <f>B18-L18</f>
        <v>-670</v>
      </c>
      <c r="H18" s="604">
        <f>'Ig bev.'!G40</f>
        <v>1824</v>
      </c>
      <c r="I18" s="604"/>
      <c r="J18" s="624">
        <f>K18-G18-I18-H18</f>
        <v>14496</v>
      </c>
      <c r="K18" s="625">
        <f>'8a-Intézmények kiadása'!Q18</f>
        <v>15650</v>
      </c>
      <c r="L18" s="141">
        <f>'3-Egyéb bevételek'!E17</f>
        <v>2270</v>
      </c>
      <c r="M18" s="33">
        <f>'Ig bev.'!H40</f>
        <v>1824</v>
      </c>
      <c r="N18" s="292"/>
      <c r="O18" s="303"/>
      <c r="P18" s="301">
        <f t="shared" si="2"/>
        <v>4094</v>
      </c>
      <c r="Q18" s="776"/>
      <c r="S18" s="271"/>
    </row>
    <row r="19" spans="1:19" ht="30" customHeight="1" x14ac:dyDescent="0.2">
      <c r="A19" s="364" t="s">
        <v>397</v>
      </c>
      <c r="B19" s="371">
        <v>2154</v>
      </c>
      <c r="C19" s="455"/>
      <c r="D19" s="45"/>
      <c r="E19" s="105">
        <f t="shared" si="1"/>
        <v>140946</v>
      </c>
      <c r="F19" s="456">
        <f>'8a-Intézmények kiadása'!I19</f>
        <v>143100</v>
      </c>
      <c r="G19" s="634">
        <v>2800</v>
      </c>
      <c r="H19" s="635">
        <v>1970</v>
      </c>
      <c r="I19" s="635">
        <v>5947</v>
      </c>
      <c r="J19" s="628">
        <f>K19-I19-G19-H19</f>
        <v>149450</v>
      </c>
      <c r="K19" s="636">
        <f>'8a-Intézmények kiadása'!Q19</f>
        <v>160167</v>
      </c>
      <c r="L19" s="314">
        <v>3116</v>
      </c>
      <c r="M19" s="457">
        <v>1970</v>
      </c>
      <c r="N19" s="457">
        <v>5947</v>
      </c>
      <c r="O19" s="296">
        <v>149450</v>
      </c>
      <c r="P19" s="777">
        <f t="shared" ref="P19:P26" si="3">SUM(L19:O19)</f>
        <v>160483</v>
      </c>
      <c r="Q19" s="176">
        <f>O19/J19</f>
        <v>1</v>
      </c>
    </row>
    <row r="20" spans="1:19" ht="18" customHeight="1" x14ac:dyDescent="0.2">
      <c r="A20" s="8" t="s">
        <v>225</v>
      </c>
      <c r="B20" s="372">
        <v>1430</v>
      </c>
      <c r="C20" s="458"/>
      <c r="D20" s="44"/>
      <c r="E20" s="189">
        <f t="shared" si="1"/>
        <v>140946</v>
      </c>
      <c r="F20" s="459">
        <f>'8a-Intézmények kiadása'!I20</f>
        <v>142376</v>
      </c>
      <c r="G20" s="637">
        <f>G19-G21</f>
        <v>1973</v>
      </c>
      <c r="H20" s="615">
        <f>H19-H21</f>
        <v>1970</v>
      </c>
      <c r="I20" s="615">
        <f>I19-I21</f>
        <v>5947</v>
      </c>
      <c r="J20" s="624">
        <f>K20-G20-I20-H20</f>
        <v>149450</v>
      </c>
      <c r="K20" s="638">
        <f>'8a-Intézmények kiadása'!Q20</f>
        <v>159340</v>
      </c>
      <c r="L20" s="143">
        <f>L19-L21</f>
        <v>2303</v>
      </c>
      <c r="M20" s="460">
        <f>M19-M21</f>
        <v>1970</v>
      </c>
      <c r="N20" s="460">
        <f>N19-N21</f>
        <v>5947</v>
      </c>
      <c r="O20" s="460">
        <f>O19-O21</f>
        <v>149450</v>
      </c>
      <c r="P20" s="778">
        <f t="shared" si="3"/>
        <v>159670</v>
      </c>
      <c r="Q20" s="187"/>
    </row>
    <row r="21" spans="1:19" ht="18" customHeight="1" x14ac:dyDescent="0.2">
      <c r="A21" s="8" t="s">
        <v>228</v>
      </c>
      <c r="B21" s="372">
        <v>724</v>
      </c>
      <c r="C21" s="458"/>
      <c r="D21" s="44"/>
      <c r="E21" s="189">
        <f t="shared" si="1"/>
        <v>0</v>
      </c>
      <c r="F21" s="461">
        <f>'8a-Intézmények kiadása'!I21</f>
        <v>724</v>
      </c>
      <c r="G21" s="637">
        <v>827</v>
      </c>
      <c r="H21" s="615"/>
      <c r="I21" s="605"/>
      <c r="J21" s="624">
        <f>K21-G21-I21-H21</f>
        <v>0</v>
      </c>
      <c r="K21" s="639">
        <f>'8a-Intézmények kiadása'!Q21</f>
        <v>827</v>
      </c>
      <c r="L21" s="143">
        <v>813</v>
      </c>
      <c r="M21" s="460"/>
      <c r="N21" s="460"/>
      <c r="O21" s="460">
        <v>0</v>
      </c>
      <c r="P21" s="778">
        <f t="shared" si="3"/>
        <v>813</v>
      </c>
      <c r="Q21" s="187"/>
    </row>
    <row r="22" spans="1:19" ht="30" customHeight="1" x14ac:dyDescent="0.2">
      <c r="A22" s="364" t="s">
        <v>227</v>
      </c>
      <c r="B22" s="371">
        <v>2900</v>
      </c>
      <c r="C22" s="455"/>
      <c r="D22" s="45"/>
      <c r="E22" s="105">
        <f t="shared" si="1"/>
        <v>51282</v>
      </c>
      <c r="F22" s="456">
        <f>'8a-Intézmények kiadása'!I22</f>
        <v>54182</v>
      </c>
      <c r="G22" s="634">
        <v>2058</v>
      </c>
      <c r="H22" s="635">
        <v>13887</v>
      </c>
      <c r="I22" s="635">
        <v>16065</v>
      </c>
      <c r="J22" s="628">
        <f>K22-I22-G22-H22</f>
        <v>62139</v>
      </c>
      <c r="K22" s="636">
        <f>'8a-Intézmények kiadása'!Q22</f>
        <v>94149</v>
      </c>
      <c r="L22" s="314">
        <v>2058</v>
      </c>
      <c r="M22" s="457">
        <v>13887</v>
      </c>
      <c r="N22" s="457">
        <v>16065</v>
      </c>
      <c r="O22" s="296">
        <v>62139</v>
      </c>
      <c r="P22" s="777">
        <f t="shared" si="3"/>
        <v>94149</v>
      </c>
      <c r="Q22" s="176">
        <f>O22/J22</f>
        <v>1</v>
      </c>
    </row>
    <row r="23" spans="1:19" ht="30" customHeight="1" x14ac:dyDescent="0.2">
      <c r="A23" s="364" t="s">
        <v>399</v>
      </c>
      <c r="B23" s="373">
        <v>220178</v>
      </c>
      <c r="C23" s="462"/>
      <c r="D23" s="45"/>
      <c r="E23" s="105">
        <f t="shared" si="1"/>
        <v>455321</v>
      </c>
      <c r="F23" s="456">
        <f>'8a-Intézmények kiadása'!I23</f>
        <v>675499</v>
      </c>
      <c r="G23" s="634">
        <v>174725</v>
      </c>
      <c r="H23" s="635">
        <v>1156</v>
      </c>
      <c r="I23" s="635">
        <v>35020</v>
      </c>
      <c r="J23" s="628">
        <f>K23-I23-G23-H23</f>
        <v>454086</v>
      </c>
      <c r="K23" s="636">
        <f>'8a-Intézmények kiadása'!Q23</f>
        <v>664987</v>
      </c>
      <c r="L23" s="315">
        <v>179348</v>
      </c>
      <c r="M23" s="132">
        <v>1156</v>
      </c>
      <c r="N23" s="132">
        <v>35020</v>
      </c>
      <c r="O23" s="296">
        <v>454086</v>
      </c>
      <c r="P23" s="777">
        <f t="shared" si="3"/>
        <v>669610</v>
      </c>
      <c r="Q23" s="176">
        <f>O23/J23</f>
        <v>1</v>
      </c>
    </row>
    <row r="24" spans="1:19" ht="18" customHeight="1" x14ac:dyDescent="0.2">
      <c r="A24" s="8" t="s">
        <v>225</v>
      </c>
      <c r="B24" s="275">
        <v>185717</v>
      </c>
      <c r="C24" s="464"/>
      <c r="D24" s="458"/>
      <c r="E24" s="189">
        <f t="shared" si="1"/>
        <v>455321</v>
      </c>
      <c r="F24" s="524">
        <f>'8a-Intézmények kiadása'!I24</f>
        <v>641038</v>
      </c>
      <c r="G24" s="640">
        <f>G23-G25</f>
        <v>148057</v>
      </c>
      <c r="H24" s="615">
        <f>H23-H25</f>
        <v>1156</v>
      </c>
      <c r="I24" s="615">
        <f>I23-I25</f>
        <v>35020</v>
      </c>
      <c r="J24" s="615">
        <f>J23-J25</f>
        <v>454086</v>
      </c>
      <c r="K24" s="649">
        <f>'8a-Intézmények kiadása'!Q24</f>
        <v>638319</v>
      </c>
      <c r="L24" s="651">
        <f>L23-L25</f>
        <v>143899</v>
      </c>
      <c r="M24" s="650">
        <f t="shared" ref="M24:O24" si="4">M23-M25</f>
        <v>1156</v>
      </c>
      <c r="N24" s="650">
        <f t="shared" si="4"/>
        <v>35020</v>
      </c>
      <c r="O24" s="650">
        <f t="shared" si="4"/>
        <v>454086</v>
      </c>
      <c r="P24" s="779">
        <f t="shared" si="3"/>
        <v>634161</v>
      </c>
      <c r="Q24" s="780"/>
    </row>
    <row r="25" spans="1:19" ht="18" customHeight="1" thickBot="1" x14ac:dyDescent="0.25">
      <c r="A25" s="8" t="s">
        <v>228</v>
      </c>
      <c r="B25" s="142">
        <v>34461</v>
      </c>
      <c r="C25" s="111"/>
      <c r="D25" s="111"/>
      <c r="E25" s="105">
        <f t="shared" si="1"/>
        <v>0</v>
      </c>
      <c r="F25" s="524">
        <f>'8a-Intézmények kiadása'!I25</f>
        <v>34461</v>
      </c>
      <c r="G25" s="641">
        <v>26668</v>
      </c>
      <c r="H25" s="642"/>
      <c r="I25" s="642"/>
      <c r="J25" s="643"/>
      <c r="K25" s="644">
        <f>'8a-Intézmények kiadása'!Q25</f>
        <v>26668</v>
      </c>
      <c r="L25" s="520">
        <v>35449</v>
      </c>
      <c r="M25" s="521"/>
      <c r="N25" s="521"/>
      <c r="O25" s="189"/>
      <c r="P25" s="779">
        <f t="shared" si="3"/>
        <v>35449</v>
      </c>
      <c r="Q25" s="781"/>
    </row>
    <row r="26" spans="1:19" s="148" customFormat="1" ht="24" customHeight="1" thickBot="1" x14ac:dyDescent="0.25">
      <c r="A26" s="365" t="s">
        <v>63</v>
      </c>
      <c r="B26" s="316">
        <f>B3+B6+B9+B12+B15+B19+B22+B23</f>
        <v>334241</v>
      </c>
      <c r="C26" s="317">
        <f>C3+C6+C9+C12+C15+C19+C22+C23</f>
        <v>465230</v>
      </c>
      <c r="D26" s="317">
        <f t="shared" ref="D26:E26" si="5">D3+D6+D9+D12+D15+D19+D22+D23</f>
        <v>0</v>
      </c>
      <c r="E26" s="313">
        <f t="shared" si="5"/>
        <v>2028298</v>
      </c>
      <c r="F26" s="267">
        <f>SUM(B26:E26)</f>
        <v>2827769</v>
      </c>
      <c r="G26" s="316">
        <f>G3+G6+G9+G12+G15+G19+G22+G23</f>
        <v>260693</v>
      </c>
      <c r="H26" s="317">
        <f>H3+H6+H9+H12+H15+H19+H22+H23</f>
        <v>540053</v>
      </c>
      <c r="I26" s="317">
        <f>I3+I6+I9+I12+I15+I19+I22+I23</f>
        <v>284025</v>
      </c>
      <c r="J26" s="313">
        <f>J3+J6+J9+J12+J15+J19+J22+J23</f>
        <v>2110488</v>
      </c>
      <c r="K26" s="267">
        <f>SUM(G26:J26)</f>
        <v>3195259</v>
      </c>
      <c r="L26" s="316">
        <f>L3+L6+L9+L12+L15+L19+L22+L23</f>
        <v>282669</v>
      </c>
      <c r="M26" s="317">
        <f>M3+M6+M9+M12+M15+M19+M22+M23</f>
        <v>538029</v>
      </c>
      <c r="N26" s="317">
        <f>N3+N6+N9+N12+N15+N19+N22+N23</f>
        <v>284025</v>
      </c>
      <c r="O26" s="313">
        <f>O3+O6+O9+O12+O15+O19+O22+O23</f>
        <v>2110488</v>
      </c>
      <c r="P26" s="267">
        <f t="shared" si="3"/>
        <v>3215211</v>
      </c>
      <c r="Q26" s="782">
        <f>O26/J26</f>
        <v>1</v>
      </c>
    </row>
    <row r="27" spans="1:19" ht="13.5" thickTop="1" x14ac:dyDescent="0.2"/>
  </sheetData>
  <mergeCells count="3">
    <mergeCell ref="A1:A2"/>
    <mergeCell ref="L1:P1"/>
    <mergeCell ref="Q1:Q2"/>
  </mergeCells>
  <phoneticPr fontId="0" type="noConversion"/>
  <printOptions horizontalCentered="1"/>
  <pageMargins left="0.39370078740157483" right="0.51181102362204722" top="1.1023622047244095" bottom="0.39370078740157483" header="0.23622047244094491" footer="0.15748031496062992"/>
  <pageSetup paperSize="8" scale="81" orientation="landscape" r:id="rId1"/>
  <headerFooter alignWithMargins="0">
    <oddHeader>&amp;C&amp;"Times New Roman CE,Félkövér"&amp;16Önkormányzati intézmények bevételei 
kötelező önként vállalt és államigazgatási feladatok szerinti bontásban&amp;"Times New Roman CE,Normál"&amp;14
&amp;11/ ezer Ft /&amp;R&amp;"Times New Roman,Normál"&amp;12 1/a. sz. melléklet</oddHeader>
    <oddFooter xml:space="preserve">&amp;R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pageSetUpPr fitToPage="1"/>
  </sheetPr>
  <dimension ref="A1:E28"/>
  <sheetViews>
    <sheetView zoomScaleNormal="100" workbookViewId="0">
      <selection activeCell="C8" sqref="C8"/>
    </sheetView>
  </sheetViews>
  <sheetFormatPr defaultRowHeight="12.75" x14ac:dyDescent="0.2"/>
  <cols>
    <col min="1" max="1" width="45.28515625" customWidth="1"/>
    <col min="2" max="3" width="20.7109375" customWidth="1"/>
    <col min="4" max="4" width="12" customWidth="1"/>
  </cols>
  <sheetData>
    <row r="1" spans="1:5" ht="18.75" customHeight="1" thickTop="1" x14ac:dyDescent="0.2">
      <c r="A1" s="1298" t="s">
        <v>66</v>
      </c>
      <c r="B1" s="1300" t="s">
        <v>839</v>
      </c>
      <c r="C1" s="1302" t="s">
        <v>840</v>
      </c>
    </row>
    <row r="2" spans="1:5" ht="60.6" customHeight="1" thickBot="1" x14ac:dyDescent="0.25">
      <c r="A2" s="1299"/>
      <c r="B2" s="1301"/>
      <c r="C2" s="1303"/>
    </row>
    <row r="3" spans="1:5" ht="23.1" customHeight="1" x14ac:dyDescent="0.2">
      <c r="A3" s="1138" t="s">
        <v>30</v>
      </c>
      <c r="B3" s="1139">
        <v>92</v>
      </c>
      <c r="C3" s="1140">
        <v>80</v>
      </c>
    </row>
    <row r="4" spans="1:5" ht="23.1" customHeight="1" x14ac:dyDescent="0.2">
      <c r="A4" s="1141" t="s">
        <v>363</v>
      </c>
      <c r="B4" s="1142">
        <v>120.5</v>
      </c>
      <c r="C4" s="1143">
        <v>120</v>
      </c>
      <c r="D4" s="55"/>
      <c r="E4" s="1"/>
    </row>
    <row r="5" spans="1:5" ht="23.1" customHeight="1" x14ac:dyDescent="0.2">
      <c r="A5" s="1144" t="s">
        <v>399</v>
      </c>
      <c r="B5" s="1156">
        <v>76</v>
      </c>
      <c r="C5" s="1143">
        <v>80</v>
      </c>
      <c r="D5" s="55"/>
      <c r="E5" s="1"/>
    </row>
    <row r="6" spans="1:5" ht="23.1" customHeight="1" x14ac:dyDescent="0.2">
      <c r="A6" s="1144" t="s">
        <v>721</v>
      </c>
      <c r="B6" s="1142">
        <v>23</v>
      </c>
      <c r="C6" s="1143">
        <v>18</v>
      </c>
      <c r="D6" s="55"/>
      <c r="E6" s="1"/>
    </row>
    <row r="7" spans="1:5" ht="23.1" customHeight="1" x14ac:dyDescent="0.2">
      <c r="A7" s="1144" t="s">
        <v>98</v>
      </c>
      <c r="B7" s="1142">
        <v>1</v>
      </c>
      <c r="C7" s="1143">
        <v>1</v>
      </c>
      <c r="D7" s="55"/>
      <c r="E7" s="1"/>
    </row>
    <row r="8" spans="1:5" ht="23.1" customHeight="1" x14ac:dyDescent="0.2">
      <c r="A8" s="1144" t="s">
        <v>197</v>
      </c>
      <c r="B8" s="1142">
        <v>5</v>
      </c>
      <c r="C8" s="1143">
        <v>10</v>
      </c>
      <c r="D8" s="55"/>
      <c r="E8" s="1"/>
    </row>
    <row r="9" spans="1:5" ht="23.1" customHeight="1" x14ac:dyDescent="0.2">
      <c r="A9" s="1144" t="s">
        <v>397</v>
      </c>
      <c r="B9" s="1142">
        <v>31</v>
      </c>
      <c r="C9" s="1143">
        <v>32</v>
      </c>
      <c r="D9" s="55"/>
      <c r="E9" s="1"/>
    </row>
    <row r="10" spans="1:5" ht="23.1" customHeight="1" x14ac:dyDescent="0.2">
      <c r="A10" s="1141" t="s">
        <v>70</v>
      </c>
      <c r="B10" s="1142">
        <v>62</v>
      </c>
      <c r="C10" s="1143">
        <v>57</v>
      </c>
      <c r="D10" s="55"/>
      <c r="E10" s="1"/>
    </row>
    <row r="11" spans="1:5" ht="23.1" customHeight="1" x14ac:dyDescent="0.2">
      <c r="A11" s="1141" t="s">
        <v>722</v>
      </c>
      <c r="B11" s="1142">
        <v>142</v>
      </c>
      <c r="C11" s="1143">
        <v>116</v>
      </c>
      <c r="D11" s="55"/>
      <c r="E11" s="1"/>
    </row>
    <row r="12" spans="1:5" ht="23.1" customHeight="1" thickBot="1" x14ac:dyDescent="0.25">
      <c r="A12" s="1145"/>
      <c r="B12" s="1146"/>
      <c r="C12" s="1147"/>
      <c r="D12" s="55"/>
      <c r="E12" s="1"/>
    </row>
    <row r="13" spans="1:5" ht="23.1" customHeight="1" thickBot="1" x14ac:dyDescent="0.25">
      <c r="A13" s="853" t="s">
        <v>230</v>
      </c>
      <c r="B13" s="1148">
        <f>SUM(B3:B12)</f>
        <v>552.5</v>
      </c>
      <c r="C13" s="855">
        <f>SUM(C3:C12)</f>
        <v>514</v>
      </c>
      <c r="D13" s="55"/>
      <c r="E13" s="1"/>
    </row>
    <row r="14" spans="1:5" ht="23.1" customHeight="1" thickBot="1" x14ac:dyDescent="0.25">
      <c r="A14" s="856" t="s">
        <v>838</v>
      </c>
      <c r="B14" s="857">
        <v>125</v>
      </c>
      <c r="C14" s="858">
        <f>90</f>
        <v>90</v>
      </c>
    </row>
    <row r="15" spans="1:5" ht="23.1" customHeight="1" thickTop="1" x14ac:dyDescent="0.2"/>
    <row r="16" spans="1:5" ht="23.1" customHeight="1" x14ac:dyDescent="0.2"/>
    <row r="17" ht="23.1" customHeight="1" x14ac:dyDescent="0.2"/>
    <row r="18" ht="23.1" customHeight="1" x14ac:dyDescent="0.2"/>
    <row r="19" ht="23.1" customHeight="1" x14ac:dyDescent="0.2"/>
    <row r="20" ht="23.1" customHeight="1" x14ac:dyDescent="0.2"/>
    <row r="21" ht="23.1" customHeight="1" x14ac:dyDescent="0.2"/>
    <row r="22" ht="23.1" customHeight="1" x14ac:dyDescent="0.2"/>
    <row r="23" ht="23.1" customHeight="1" x14ac:dyDescent="0.2"/>
    <row r="24" ht="23.1" customHeight="1" x14ac:dyDescent="0.2"/>
    <row r="25" ht="23.1" customHeight="1" x14ac:dyDescent="0.2"/>
    <row r="26" ht="23.1" customHeight="1" x14ac:dyDescent="0.2"/>
    <row r="27" ht="23.1" customHeight="1" x14ac:dyDescent="0.2"/>
    <row r="28" ht="31.5" customHeight="1" x14ac:dyDescent="0.2"/>
  </sheetData>
  <mergeCells count="3">
    <mergeCell ref="A1:A2"/>
    <mergeCell ref="B1:B2"/>
    <mergeCell ref="C1:C2"/>
  </mergeCells>
  <phoneticPr fontId="0" type="noConversion"/>
  <printOptions horizontalCentered="1" gridLines="1" gridLinesSet="0"/>
  <pageMargins left="0.82677165354330717" right="0.74803149606299213" top="1.6141732283464567" bottom="1.0236220472440944" header="0.78740157480314965" footer="0.51181102362204722"/>
  <pageSetup paperSize="8" orientation="portrait" r:id="rId1"/>
  <headerFooter alignWithMargins="0">
    <oddHeader>&amp;C&amp;"Times New Roman CE,Félkövér"&amp;16
Létszám adatok&amp;R&amp;"Times New Roman,Félkövér"&amp;12 &amp;"Times New Roman,Normál"15. sz. 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C1" zoomScaleNormal="100" workbookViewId="0">
      <selection activeCell="G7" sqref="G7"/>
    </sheetView>
  </sheetViews>
  <sheetFormatPr defaultColWidth="9.140625" defaultRowHeight="12.75" x14ac:dyDescent="0.2"/>
  <cols>
    <col min="1" max="1" width="48.85546875" style="312" customWidth="1"/>
    <col min="2" max="8" width="9.85546875" style="312" customWidth="1"/>
    <col min="9" max="9" width="10.140625" style="312" customWidth="1"/>
    <col min="10" max="16384" width="9.140625" style="312"/>
  </cols>
  <sheetData>
    <row r="1" spans="1:9" ht="22.5" customHeight="1" thickTop="1" x14ac:dyDescent="0.2">
      <c r="A1" s="1304" t="s">
        <v>66</v>
      </c>
      <c r="B1" s="1306" t="s">
        <v>685</v>
      </c>
      <c r="C1" s="1307"/>
      <c r="D1" s="1306" t="s">
        <v>686</v>
      </c>
      <c r="E1" s="1307"/>
      <c r="F1" s="1306" t="s">
        <v>687</v>
      </c>
      <c r="G1" s="1307"/>
      <c r="H1" s="1306" t="s">
        <v>836</v>
      </c>
      <c r="I1" s="1308"/>
    </row>
    <row r="2" spans="1:9" ht="22.5" customHeight="1" thickBot="1" x14ac:dyDescent="0.25">
      <c r="A2" s="1305"/>
      <c r="B2" s="835" t="s">
        <v>688</v>
      </c>
      <c r="C2" s="835" t="s">
        <v>689</v>
      </c>
      <c r="D2" s="835" t="s">
        <v>688</v>
      </c>
      <c r="E2" s="835" t="s">
        <v>689</v>
      </c>
      <c r="F2" s="835" t="s">
        <v>688</v>
      </c>
      <c r="G2" s="835" t="s">
        <v>689</v>
      </c>
      <c r="H2" s="835" t="s">
        <v>688</v>
      </c>
      <c r="I2" s="836" t="s">
        <v>689</v>
      </c>
    </row>
    <row r="3" spans="1:9" ht="23.1" customHeight="1" x14ac:dyDescent="0.2">
      <c r="A3" s="837"/>
      <c r="B3" s="838"/>
      <c r="C3" s="838"/>
      <c r="D3" s="838"/>
      <c r="E3" s="838"/>
      <c r="F3" s="838"/>
      <c r="G3" s="838"/>
      <c r="H3" s="838"/>
      <c r="I3" s="839"/>
    </row>
    <row r="4" spans="1:9" ht="23.1" customHeight="1" x14ac:dyDescent="0.2">
      <c r="A4" s="837"/>
      <c r="B4" s="840"/>
      <c r="C4" s="840"/>
      <c r="D4" s="840"/>
      <c r="E4" s="840"/>
      <c r="F4" s="840"/>
      <c r="G4" s="840"/>
      <c r="H4" s="840"/>
      <c r="I4" s="841"/>
    </row>
    <row r="5" spans="1:9" ht="23.1" customHeight="1" x14ac:dyDescent="0.2">
      <c r="A5" s="842"/>
      <c r="B5" s="840"/>
      <c r="C5" s="840"/>
      <c r="D5" s="840"/>
      <c r="E5" s="840"/>
      <c r="F5" s="840"/>
      <c r="G5" s="840"/>
      <c r="H5" s="840"/>
      <c r="I5" s="841"/>
    </row>
    <row r="6" spans="1:9" ht="23.1" customHeight="1" thickBot="1" x14ac:dyDescent="0.25">
      <c r="A6" s="842"/>
      <c r="B6" s="840"/>
      <c r="C6" s="840"/>
      <c r="D6" s="840"/>
      <c r="E6" s="840"/>
      <c r="F6" s="840"/>
      <c r="G6" s="840"/>
      <c r="H6" s="840"/>
      <c r="I6" s="841"/>
    </row>
    <row r="7" spans="1:9" ht="30" customHeight="1" thickBot="1" x14ac:dyDescent="0.25">
      <c r="A7" s="843" t="s">
        <v>230</v>
      </c>
      <c r="B7" s="844">
        <f t="shared" ref="B7:I7" si="0">SUM(B3:B6)</f>
        <v>0</v>
      </c>
      <c r="C7" s="844">
        <f t="shared" si="0"/>
        <v>0</v>
      </c>
      <c r="D7" s="844">
        <f t="shared" si="0"/>
        <v>0</v>
      </c>
      <c r="E7" s="844">
        <f t="shared" si="0"/>
        <v>0</v>
      </c>
      <c r="F7" s="844">
        <f t="shared" si="0"/>
        <v>0</v>
      </c>
      <c r="G7" s="844">
        <f t="shared" si="0"/>
        <v>0</v>
      </c>
      <c r="H7" s="844">
        <f t="shared" si="0"/>
        <v>0</v>
      </c>
      <c r="I7" s="845">
        <f t="shared" si="0"/>
        <v>0</v>
      </c>
    </row>
    <row r="8" spans="1:9" ht="13.5" thickTop="1" x14ac:dyDescent="0.2"/>
  </sheetData>
  <mergeCells count="5">
    <mergeCell ref="A1:A2"/>
    <mergeCell ref="B1:C1"/>
    <mergeCell ref="D1:E1"/>
    <mergeCell ref="F1:G1"/>
    <mergeCell ref="H1:I1"/>
  </mergeCells>
  <printOptions horizontalCentered="1"/>
  <pageMargins left="0.82677165354330717" right="0.74803149606299213" top="1.9291338582677167" bottom="1.3385826771653544" header="0.9055118110236221" footer="0.9055118110236221"/>
  <pageSetup paperSize="8" orientation="landscape" r:id="rId1"/>
  <headerFooter alignWithMargins="0">
    <oddHeader>&amp;C&amp;"Times New Roman,Félkövér"&amp;13
Többéves kihatással járó elkötelezettségek és várható bevételeik
&amp;"Times New Roman,Normál"&amp;12(ezer Ft)&amp;R&amp;"Times New Roman,Normál"&amp;12 16. sz. melléklet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C7" sqref="C7"/>
    </sheetView>
  </sheetViews>
  <sheetFormatPr defaultRowHeight="12.75" x14ac:dyDescent="0.2"/>
  <cols>
    <col min="1" max="1" width="46.5703125" customWidth="1"/>
    <col min="2" max="2" width="16.42578125" customWidth="1"/>
    <col min="3" max="3" width="36.28515625" customWidth="1"/>
    <col min="4" max="4" width="12" customWidth="1"/>
  </cols>
  <sheetData>
    <row r="1" spans="1:5" ht="18.75" customHeight="1" thickTop="1" x14ac:dyDescent="0.2">
      <c r="A1" s="1298" t="s">
        <v>66</v>
      </c>
      <c r="B1" s="1300" t="s">
        <v>690</v>
      </c>
      <c r="C1" s="1302" t="s">
        <v>691</v>
      </c>
    </row>
    <row r="2" spans="1:5" ht="33" customHeight="1" thickBot="1" x14ac:dyDescent="0.25">
      <c r="A2" s="1299"/>
      <c r="B2" s="1301"/>
      <c r="C2" s="1303"/>
    </row>
    <row r="3" spans="1:5" ht="30" customHeight="1" x14ac:dyDescent="0.2">
      <c r="A3" s="846" t="s">
        <v>692</v>
      </c>
      <c r="B3" s="847">
        <v>0</v>
      </c>
      <c r="C3" s="848"/>
    </row>
    <row r="4" spans="1:5" ht="30" customHeight="1" x14ac:dyDescent="0.2">
      <c r="A4" s="849" t="s">
        <v>693</v>
      </c>
      <c r="B4" s="850">
        <v>0</v>
      </c>
      <c r="C4" s="851"/>
      <c r="D4" s="55"/>
      <c r="E4" s="1"/>
    </row>
    <row r="5" spans="1:5" ht="30" customHeight="1" x14ac:dyDescent="0.2">
      <c r="A5" s="852" t="s">
        <v>694</v>
      </c>
      <c r="B5" s="850">
        <v>2619876</v>
      </c>
      <c r="C5" s="851" t="s">
        <v>847</v>
      </c>
      <c r="D5" s="55"/>
      <c r="E5" s="1"/>
    </row>
    <row r="6" spans="1:5" ht="30" customHeight="1" x14ac:dyDescent="0.2">
      <c r="A6" s="852" t="s">
        <v>695</v>
      </c>
      <c r="B6" s="850">
        <v>0</v>
      </c>
      <c r="C6" s="851"/>
      <c r="D6" s="55"/>
      <c r="E6" s="1"/>
    </row>
    <row r="7" spans="1:5" ht="55.5" customHeight="1" x14ac:dyDescent="0.2">
      <c r="A7" s="849" t="s">
        <v>852</v>
      </c>
      <c r="B7" s="1194">
        <v>5942327</v>
      </c>
      <c r="C7" s="1195" t="s">
        <v>854</v>
      </c>
      <c r="D7" s="55"/>
      <c r="E7" s="1"/>
    </row>
    <row r="8" spans="1:5" ht="70.900000000000006" customHeight="1" thickBot="1" x14ac:dyDescent="0.25">
      <c r="A8" s="849" t="s">
        <v>696</v>
      </c>
      <c r="B8" s="850">
        <f>11914000+2332000</f>
        <v>14246000</v>
      </c>
      <c r="C8" s="851" t="s">
        <v>853</v>
      </c>
      <c r="D8" s="55"/>
      <c r="E8" s="1"/>
    </row>
    <row r="9" spans="1:5" ht="28.9" customHeight="1" thickBot="1" x14ac:dyDescent="0.25">
      <c r="A9" s="853" t="s">
        <v>230</v>
      </c>
      <c r="B9" s="854">
        <f>SUM(B3:B8)</f>
        <v>22808203</v>
      </c>
      <c r="C9" s="855"/>
      <c r="D9" s="55"/>
      <c r="E9" s="1"/>
    </row>
    <row r="10" spans="1:5" ht="23.1" customHeight="1" thickBot="1" x14ac:dyDescent="0.25">
      <c r="A10" s="856"/>
      <c r="B10" s="857"/>
      <c r="C10" s="858"/>
    </row>
    <row r="11" spans="1:5" ht="23.1" customHeight="1" thickTop="1" x14ac:dyDescent="0.2"/>
    <row r="12" spans="1:5" ht="23.1" customHeight="1" x14ac:dyDescent="0.2"/>
    <row r="13" spans="1:5" ht="23.1" customHeight="1" x14ac:dyDescent="0.2"/>
    <row r="14" spans="1:5" ht="23.1" customHeight="1" x14ac:dyDescent="0.2"/>
    <row r="15" spans="1:5" ht="23.1" customHeight="1" x14ac:dyDescent="0.2"/>
    <row r="16" spans="1:5" ht="23.1" customHeight="1" x14ac:dyDescent="0.2"/>
    <row r="17" ht="23.1" customHeight="1" x14ac:dyDescent="0.2"/>
    <row r="18" ht="23.1" customHeight="1" x14ac:dyDescent="0.2"/>
    <row r="19" ht="23.1" customHeight="1" x14ac:dyDescent="0.2"/>
    <row r="20" ht="23.1" customHeight="1" x14ac:dyDescent="0.2"/>
    <row r="21" ht="23.1" customHeight="1" x14ac:dyDescent="0.2"/>
    <row r="22" ht="23.1" customHeight="1" x14ac:dyDescent="0.2"/>
    <row r="23" ht="23.1" customHeight="1" x14ac:dyDescent="0.2"/>
    <row r="24" ht="31.5" customHeight="1" x14ac:dyDescent="0.2"/>
  </sheetData>
  <mergeCells count="3">
    <mergeCell ref="A1:A2"/>
    <mergeCell ref="B1:B2"/>
    <mergeCell ref="C1:C2"/>
  </mergeCells>
  <printOptions horizontalCentered="1" gridLines="1"/>
  <pageMargins left="0.82677165354330717" right="0.74803149606299213" top="1.6535433070866143" bottom="0.98425196850393704" header="0.51181102362204722" footer="0.51181102362204722"/>
  <pageSetup paperSize="8" scale="87" orientation="portrait" r:id="rId1"/>
  <headerFooter alignWithMargins="0">
    <oddHeader>&amp;C&amp;"MS Sans Serif,Félkövér"&amp;15 
&amp;"Times New Roman,Félkövér"Közvetett támogatások&amp;R&amp;"Times New Roman,Normál"&amp;12 17.sz.melléklet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6.140625" style="862" customWidth="1"/>
    <col min="2" max="4" width="15.7109375" style="862" customWidth="1"/>
    <col min="5" max="5" width="38" style="862" customWidth="1"/>
    <col min="6" max="16384" width="9.140625" style="862"/>
  </cols>
  <sheetData>
    <row r="1" spans="1:5" ht="47.25" customHeight="1" thickTop="1" x14ac:dyDescent="0.25">
      <c r="A1" s="859" t="s">
        <v>697</v>
      </c>
      <c r="B1" s="860" t="s">
        <v>698</v>
      </c>
      <c r="C1" s="860" t="s">
        <v>699</v>
      </c>
      <c r="D1" s="860" t="s">
        <v>700</v>
      </c>
      <c r="E1" s="861" t="s">
        <v>691</v>
      </c>
    </row>
    <row r="2" spans="1:5" ht="50.1" customHeight="1" x14ac:dyDescent="0.25">
      <c r="A2" s="1190" t="s">
        <v>701</v>
      </c>
      <c r="B2" s="1189">
        <v>5012836</v>
      </c>
      <c r="C2" s="1189">
        <v>0</v>
      </c>
      <c r="D2" s="1189">
        <v>4611805</v>
      </c>
      <c r="E2" s="1191" t="s">
        <v>704</v>
      </c>
    </row>
    <row r="3" spans="1:5" ht="50.1" customHeight="1" x14ac:dyDescent="0.25">
      <c r="A3" s="863" t="s">
        <v>703</v>
      </c>
      <c r="B3" s="1189">
        <v>371856128</v>
      </c>
      <c r="C3" s="1189">
        <f>D3-B3</f>
        <v>255170561</v>
      </c>
      <c r="D3" s="1189">
        <v>627026689</v>
      </c>
      <c r="E3" s="1191" t="s">
        <v>704</v>
      </c>
    </row>
    <row r="4" spans="1:5" ht="36" customHeight="1" x14ac:dyDescent="0.25">
      <c r="A4" s="1192" t="s">
        <v>851</v>
      </c>
      <c r="B4" s="1189">
        <v>99999971</v>
      </c>
      <c r="C4" s="1189">
        <f>D4-B4</f>
        <v>31779029</v>
      </c>
      <c r="D4" s="1189">
        <v>131779000</v>
      </c>
      <c r="E4" s="1193" t="s">
        <v>702</v>
      </c>
    </row>
    <row r="5" spans="1:5" ht="50.1" customHeight="1" x14ac:dyDescent="0.25">
      <c r="A5" s="1192" t="s">
        <v>850</v>
      </c>
      <c r="B5" s="1189">
        <v>244705801</v>
      </c>
      <c r="C5" s="1189">
        <v>0</v>
      </c>
      <c r="D5" s="1189">
        <v>244705801</v>
      </c>
      <c r="E5" s="1193" t="s">
        <v>702</v>
      </c>
    </row>
    <row r="6" spans="1:5" ht="50.1" customHeight="1" x14ac:dyDescent="0.25">
      <c r="A6" s="863" t="s">
        <v>857</v>
      </c>
      <c r="B6" s="864">
        <v>423013475</v>
      </c>
      <c r="C6" s="864">
        <f>D6-B6</f>
        <v>38523335</v>
      </c>
      <c r="D6" s="1189">
        <v>461536810</v>
      </c>
      <c r="E6" s="1191" t="s">
        <v>704</v>
      </c>
    </row>
    <row r="7" spans="1:5" ht="50.1" customHeight="1" x14ac:dyDescent="0.25">
      <c r="A7" s="1192" t="s">
        <v>856</v>
      </c>
      <c r="B7" s="1189">
        <v>96300000</v>
      </c>
      <c r="C7" s="1189">
        <f>D7-B7</f>
        <v>56054000</v>
      </c>
      <c r="D7" s="1189">
        <v>152354000</v>
      </c>
      <c r="E7" s="1191" t="s">
        <v>849</v>
      </c>
    </row>
    <row r="8" spans="1:5" ht="36" customHeight="1" x14ac:dyDescent="0.25">
      <c r="A8" s="863" t="s">
        <v>705</v>
      </c>
      <c r="B8" s="864">
        <v>12849860</v>
      </c>
      <c r="C8" s="864">
        <v>0</v>
      </c>
      <c r="D8" s="1189">
        <f>B8</f>
        <v>12849860</v>
      </c>
      <c r="E8" s="1191" t="s">
        <v>702</v>
      </c>
    </row>
    <row r="9" spans="1:5" ht="36" customHeight="1" x14ac:dyDescent="0.25">
      <c r="A9" s="863" t="s">
        <v>848</v>
      </c>
      <c r="B9" s="864">
        <v>400000000</v>
      </c>
      <c r="C9" s="864"/>
      <c r="D9" s="1189">
        <v>400000000</v>
      </c>
      <c r="E9" s="1191" t="s">
        <v>702</v>
      </c>
    </row>
    <row r="10" spans="1:5" ht="36" customHeight="1" x14ac:dyDescent="0.25">
      <c r="A10" s="1192" t="s">
        <v>706</v>
      </c>
      <c r="B10" s="1189">
        <v>1499411317</v>
      </c>
      <c r="C10" s="1189">
        <v>300000000</v>
      </c>
      <c r="D10" s="1189">
        <v>1799411317</v>
      </c>
      <c r="E10" s="1191" t="s">
        <v>702</v>
      </c>
    </row>
    <row r="11" spans="1:5" ht="29.25" customHeight="1" thickBot="1" x14ac:dyDescent="0.3">
      <c r="A11" s="1188" t="s">
        <v>63</v>
      </c>
      <c r="B11" s="1187">
        <f>SUM(B2:B10)</f>
        <v>3153149388</v>
      </c>
      <c r="C11" s="1187">
        <f>SUM(C2:C10)</f>
        <v>681526925</v>
      </c>
      <c r="D11" s="1187">
        <f>SUM(D2:D10)</f>
        <v>3834275282</v>
      </c>
      <c r="E11" s="1186"/>
    </row>
    <row r="12" spans="1:5" ht="15.75" thickTop="1" x14ac:dyDescent="0.25">
      <c r="A12" s="865"/>
      <c r="B12" s="866"/>
      <c r="C12" s="866"/>
      <c r="D12" s="866"/>
      <c r="E12" s="866"/>
    </row>
  </sheetData>
  <printOptions horizontalCentered="1"/>
  <pageMargins left="0.70866141732283472" right="0.70866141732283472" top="1.3385826771653544" bottom="0.74803149606299213" header="0.51181102362204722" footer="0.31496062992125984"/>
  <pageSetup paperSize="8" scale="97" orientation="landscape" r:id="rId1"/>
  <headerFooter>
    <oddHeader>&amp;C&amp;"Times New Roman,Félkövér"&amp;14Európai Uniós támogatások&amp;12
(forintban)&amp;R&amp;"Times New Roman,Normál"&amp;12 18.sz.melléklet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3" sqref="AA3"/>
    </sheetView>
  </sheetViews>
  <sheetFormatPr defaultRowHeight="12.75" x14ac:dyDescent="0.2"/>
  <cols>
    <col min="1" max="1" width="22.7109375" customWidth="1"/>
    <col min="2" max="2" width="10.28515625" customWidth="1"/>
    <col min="3" max="6" width="9.28515625" customWidth="1"/>
    <col min="7" max="7" width="7.85546875" bestFit="1" customWidth="1"/>
    <col min="8" max="8" width="9.85546875" bestFit="1" customWidth="1"/>
    <col min="9" max="10" width="9.85546875" style="905" customWidth="1"/>
    <col min="11" max="11" width="9.42578125" customWidth="1"/>
    <col min="12" max="12" width="7.85546875" bestFit="1" customWidth="1"/>
    <col min="13" max="13" width="8.7109375" bestFit="1" customWidth="1"/>
    <col min="14" max="14" width="9.85546875" bestFit="1" customWidth="1"/>
    <col min="15" max="15" width="10.5703125" customWidth="1"/>
    <col min="16" max="19" width="9.42578125" customWidth="1"/>
    <col min="20" max="20" width="8.42578125" customWidth="1"/>
    <col min="21" max="21" width="9.85546875" bestFit="1" customWidth="1"/>
    <col min="22" max="22" width="10.140625" customWidth="1"/>
    <col min="23" max="24" width="9.28515625" customWidth="1"/>
    <col min="25" max="25" width="8" customWidth="1"/>
    <col min="26" max="26" width="9.28515625" customWidth="1"/>
    <col min="27" max="27" width="10" customWidth="1"/>
  </cols>
  <sheetData>
    <row r="1" spans="1:29" ht="28.5" customHeight="1" thickTop="1" x14ac:dyDescent="0.2">
      <c r="A1" s="867"/>
      <c r="B1" s="868" t="s">
        <v>707</v>
      </c>
      <c r="C1" s="869"/>
      <c r="D1" s="869"/>
      <c r="E1" s="869"/>
      <c r="F1" s="869"/>
      <c r="G1" s="870"/>
      <c r="H1" s="870"/>
      <c r="I1" s="871"/>
      <c r="J1" s="871"/>
      <c r="K1" s="870"/>
      <c r="L1" s="870"/>
      <c r="M1" s="870"/>
      <c r="N1" s="872"/>
      <c r="O1" s="868" t="s">
        <v>835</v>
      </c>
      <c r="P1" s="869"/>
      <c r="Q1" s="869"/>
      <c r="R1" s="869"/>
      <c r="S1" s="869"/>
      <c r="T1" s="870"/>
      <c r="U1" s="870"/>
      <c r="V1" s="870"/>
      <c r="W1" s="870"/>
      <c r="X1" s="870"/>
      <c r="Y1" s="870"/>
      <c r="Z1" s="870"/>
      <c r="AA1" s="873"/>
      <c r="AB1" s="1"/>
      <c r="AC1" s="874"/>
    </row>
    <row r="2" spans="1:29" ht="161.25" customHeight="1" thickBot="1" x14ac:dyDescent="0.25">
      <c r="A2" s="875" t="s">
        <v>66</v>
      </c>
      <c r="B2" s="876" t="s">
        <v>708</v>
      </c>
      <c r="C2" s="876" t="s">
        <v>709</v>
      </c>
      <c r="D2" s="876" t="s">
        <v>710</v>
      </c>
      <c r="E2" s="876" t="s">
        <v>711</v>
      </c>
      <c r="F2" s="876" t="s">
        <v>712</v>
      </c>
      <c r="G2" s="876" t="s">
        <v>713</v>
      </c>
      <c r="H2" s="877" t="s">
        <v>714</v>
      </c>
      <c r="I2" s="878" t="s">
        <v>715</v>
      </c>
      <c r="J2" s="878" t="s">
        <v>716</v>
      </c>
      <c r="K2" s="876" t="s">
        <v>717</v>
      </c>
      <c r="L2" s="876" t="s">
        <v>718</v>
      </c>
      <c r="M2" s="876" t="s">
        <v>719</v>
      </c>
      <c r="N2" s="879" t="s">
        <v>720</v>
      </c>
      <c r="O2" s="876" t="s">
        <v>708</v>
      </c>
      <c r="P2" s="876" t="s">
        <v>709</v>
      </c>
      <c r="Q2" s="876" t="s">
        <v>710</v>
      </c>
      <c r="R2" s="876" t="s">
        <v>711</v>
      </c>
      <c r="S2" s="876" t="s">
        <v>712</v>
      </c>
      <c r="T2" s="876" t="s">
        <v>713</v>
      </c>
      <c r="U2" s="877" t="s">
        <v>714</v>
      </c>
      <c r="V2" s="878" t="s">
        <v>715</v>
      </c>
      <c r="W2" s="878" t="s">
        <v>716</v>
      </c>
      <c r="X2" s="876" t="s">
        <v>717</v>
      </c>
      <c r="Y2" s="876" t="s">
        <v>718</v>
      </c>
      <c r="Z2" s="876" t="s">
        <v>719</v>
      </c>
      <c r="AA2" s="880" t="s">
        <v>720</v>
      </c>
      <c r="AB2" s="881"/>
      <c r="AC2" s="881"/>
    </row>
    <row r="3" spans="1:29" ht="30" customHeight="1" x14ac:dyDescent="0.2">
      <c r="A3" s="882" t="s">
        <v>30</v>
      </c>
      <c r="B3" s="883">
        <v>170795</v>
      </c>
      <c r="C3" s="884"/>
      <c r="D3" s="884">
        <v>49887</v>
      </c>
      <c r="E3" s="884">
        <v>8170</v>
      </c>
      <c r="F3" s="884"/>
      <c r="G3" s="885"/>
      <c r="H3" s="886">
        <f t="shared" ref="H3:H11" si="0">SUM(B3:G3)</f>
        <v>228852</v>
      </c>
      <c r="I3" s="885">
        <v>173079</v>
      </c>
      <c r="J3" s="885">
        <v>26589</v>
      </c>
      <c r="K3" s="885"/>
      <c r="L3" s="885"/>
      <c r="M3" s="885">
        <v>29184</v>
      </c>
      <c r="N3" s="887">
        <f>SUM(I3:M3)</f>
        <v>228852</v>
      </c>
      <c r="O3" s="883">
        <v>171764</v>
      </c>
      <c r="P3" s="884"/>
      <c r="Q3" s="884">
        <v>38315</v>
      </c>
      <c r="R3" s="884">
        <v>825</v>
      </c>
      <c r="S3" s="884"/>
      <c r="T3" s="885"/>
      <c r="U3" s="886">
        <f t="shared" ref="U3:U11" si="1">SUM(O3:T3)</f>
        <v>210904</v>
      </c>
      <c r="V3" s="885">
        <v>168471</v>
      </c>
      <c r="W3" s="885">
        <v>10487</v>
      </c>
      <c r="X3" s="885"/>
      <c r="Y3" s="885"/>
      <c r="Z3" s="885">
        <v>31946</v>
      </c>
      <c r="AA3" s="888">
        <f t="shared" ref="AA3:AA11" si="2">SUM(V3:Z3)</f>
        <v>210904</v>
      </c>
    </row>
    <row r="4" spans="1:29" ht="30" customHeight="1" x14ac:dyDescent="0.2">
      <c r="A4" s="882" t="s">
        <v>363</v>
      </c>
      <c r="B4" s="889">
        <v>457013</v>
      </c>
      <c r="C4" s="890"/>
      <c r="D4" s="890">
        <v>18714</v>
      </c>
      <c r="E4" s="890">
        <v>357</v>
      </c>
      <c r="F4" s="890">
        <v>-3</v>
      </c>
      <c r="G4" s="885">
        <v>50</v>
      </c>
      <c r="H4" s="886">
        <f t="shared" si="0"/>
        <v>476131</v>
      </c>
      <c r="I4" s="885">
        <v>431170</v>
      </c>
      <c r="J4" s="885">
        <v>1611</v>
      </c>
      <c r="K4" s="885"/>
      <c r="L4" s="885"/>
      <c r="M4" s="885">
        <v>43350</v>
      </c>
      <c r="N4" s="891">
        <f>SUM(I4:M4)</f>
        <v>476131</v>
      </c>
      <c r="O4" s="889">
        <v>455806</v>
      </c>
      <c r="P4" s="890"/>
      <c r="Q4" s="890">
        <v>20632</v>
      </c>
      <c r="R4" s="890">
        <v>606</v>
      </c>
      <c r="S4" s="890">
        <v>67</v>
      </c>
      <c r="T4" s="885">
        <v>381</v>
      </c>
      <c r="U4" s="886">
        <f t="shared" si="1"/>
        <v>477492</v>
      </c>
      <c r="V4" s="885">
        <v>430123</v>
      </c>
      <c r="W4" s="885">
        <v>1189</v>
      </c>
      <c r="X4" s="885"/>
      <c r="Y4" s="885"/>
      <c r="Z4" s="885">
        <v>46180</v>
      </c>
      <c r="AA4" s="888">
        <f t="shared" si="2"/>
        <v>477492</v>
      </c>
    </row>
    <row r="5" spans="1:29" ht="30" customHeight="1" x14ac:dyDescent="0.2">
      <c r="A5" s="882" t="s">
        <v>721</v>
      </c>
      <c r="B5" s="889">
        <v>127971</v>
      </c>
      <c r="C5" s="890"/>
      <c r="D5" s="890">
        <v>18959</v>
      </c>
      <c r="E5" s="890">
        <v>956</v>
      </c>
      <c r="F5" s="890">
        <v>1479</v>
      </c>
      <c r="G5" s="885">
        <v>333</v>
      </c>
      <c r="H5" s="886">
        <f t="shared" si="0"/>
        <v>149698</v>
      </c>
      <c r="I5" s="885">
        <v>138339</v>
      </c>
      <c r="J5" s="885">
        <v>5851</v>
      </c>
      <c r="K5" s="885"/>
      <c r="L5" s="885"/>
      <c r="M5" s="885">
        <v>5508</v>
      </c>
      <c r="N5" s="891">
        <f t="shared" ref="N5:N10" si="3">SUM(I5:M5)</f>
        <v>149698</v>
      </c>
      <c r="O5" s="889">
        <v>129687</v>
      </c>
      <c r="P5" s="890"/>
      <c r="Q5" s="890">
        <v>62959</v>
      </c>
      <c r="R5" s="890">
        <v>3802</v>
      </c>
      <c r="S5" s="890">
        <v>2998</v>
      </c>
      <c r="T5" s="885">
        <v>659</v>
      </c>
      <c r="U5" s="886">
        <f t="shared" si="1"/>
        <v>200105</v>
      </c>
      <c r="V5" s="885">
        <v>189795</v>
      </c>
      <c r="W5" s="885">
        <v>2923</v>
      </c>
      <c r="X5" s="885"/>
      <c r="Y5" s="885"/>
      <c r="Z5" s="885">
        <v>7387</v>
      </c>
      <c r="AA5" s="888">
        <f>SUM(V5:Z5)</f>
        <v>200105</v>
      </c>
    </row>
    <row r="6" spans="1:29" ht="30" customHeight="1" x14ac:dyDescent="0.2">
      <c r="A6" s="882" t="s">
        <v>98</v>
      </c>
      <c r="B6" s="889">
        <v>13517</v>
      </c>
      <c r="C6" s="890"/>
      <c r="D6" s="890">
        <v>1671</v>
      </c>
      <c r="E6" s="890"/>
      <c r="F6" s="890"/>
      <c r="G6" s="885"/>
      <c r="H6" s="886">
        <f t="shared" si="0"/>
        <v>15188</v>
      </c>
      <c r="I6" s="885">
        <v>14657</v>
      </c>
      <c r="J6" s="885">
        <v>115</v>
      </c>
      <c r="K6" s="885"/>
      <c r="L6" s="885"/>
      <c r="M6" s="885">
        <v>416</v>
      </c>
      <c r="N6" s="891">
        <f t="shared" si="3"/>
        <v>15188</v>
      </c>
      <c r="O6" s="889">
        <v>9420</v>
      </c>
      <c r="P6" s="890"/>
      <c r="Q6" s="890">
        <v>864</v>
      </c>
      <c r="R6" s="890">
        <v>6</v>
      </c>
      <c r="S6" s="890"/>
      <c r="T6" s="885"/>
      <c r="U6" s="886">
        <f t="shared" si="1"/>
        <v>10290</v>
      </c>
      <c r="V6" s="885">
        <v>8802</v>
      </c>
      <c r="W6" s="885">
        <v>199</v>
      </c>
      <c r="X6" s="885"/>
      <c r="Y6" s="885"/>
      <c r="Z6" s="885">
        <v>1289</v>
      </c>
      <c r="AA6" s="888">
        <f>SUM(V6:Z6)</f>
        <v>10290</v>
      </c>
    </row>
    <row r="7" spans="1:29" ht="30" customHeight="1" x14ac:dyDescent="0.2">
      <c r="A7" s="882" t="s">
        <v>399</v>
      </c>
      <c r="B7" s="889">
        <v>108539</v>
      </c>
      <c r="C7" s="890">
        <v>1503</v>
      </c>
      <c r="D7" s="890">
        <v>36351</v>
      </c>
      <c r="E7" s="890">
        <v>956</v>
      </c>
      <c r="F7" s="890">
        <v>454</v>
      </c>
      <c r="G7" s="885">
        <v>8</v>
      </c>
      <c r="H7" s="886">
        <f t="shared" si="0"/>
        <v>147811</v>
      </c>
      <c r="I7" s="885">
        <v>120459</v>
      </c>
      <c r="J7" s="885">
        <v>8136</v>
      </c>
      <c r="K7" s="885"/>
      <c r="L7" s="885"/>
      <c r="M7" s="885">
        <v>19216</v>
      </c>
      <c r="N7" s="891">
        <f t="shared" si="3"/>
        <v>147811</v>
      </c>
      <c r="O7" s="889">
        <v>105632</v>
      </c>
      <c r="P7" s="890">
        <v>1744</v>
      </c>
      <c r="Q7" s="890">
        <v>56968</v>
      </c>
      <c r="R7" s="890">
        <v>248</v>
      </c>
      <c r="S7" s="890">
        <v>-1652</v>
      </c>
      <c r="T7" s="885">
        <v>174</v>
      </c>
      <c r="U7" s="886">
        <f t="shared" si="1"/>
        <v>163114</v>
      </c>
      <c r="V7" s="885">
        <v>133538</v>
      </c>
      <c r="W7" s="885">
        <v>11577</v>
      </c>
      <c r="X7" s="885"/>
      <c r="Y7" s="885"/>
      <c r="Z7" s="885">
        <v>17999</v>
      </c>
      <c r="AA7" s="892">
        <f>SUM(V7:Z7)</f>
        <v>163114</v>
      </c>
    </row>
    <row r="8" spans="1:29" ht="30" customHeight="1" x14ac:dyDescent="0.2">
      <c r="A8" s="893" t="s">
        <v>397</v>
      </c>
      <c r="B8" s="889">
        <v>64801</v>
      </c>
      <c r="C8" s="890">
        <v>308</v>
      </c>
      <c r="D8" s="890">
        <v>5610</v>
      </c>
      <c r="E8" s="890">
        <v>338</v>
      </c>
      <c r="F8" s="890">
        <v>920</v>
      </c>
      <c r="G8" s="885"/>
      <c r="H8" s="886">
        <f t="shared" si="0"/>
        <v>71977</v>
      </c>
      <c r="I8" s="885">
        <v>63427</v>
      </c>
      <c r="J8" s="885">
        <v>551</v>
      </c>
      <c r="K8" s="885"/>
      <c r="L8" s="885"/>
      <c r="M8" s="894">
        <v>7999</v>
      </c>
      <c r="N8" s="891">
        <f t="shared" si="3"/>
        <v>71977</v>
      </c>
      <c r="O8" s="889">
        <v>63590</v>
      </c>
      <c r="P8" s="890">
        <v>174</v>
      </c>
      <c r="Q8" s="890">
        <v>5588</v>
      </c>
      <c r="R8" s="890">
        <v>322</v>
      </c>
      <c r="S8" s="890">
        <v>-84</v>
      </c>
      <c r="T8" s="885">
        <v>113</v>
      </c>
      <c r="U8" s="886">
        <f t="shared" si="1"/>
        <v>69703</v>
      </c>
      <c r="V8" s="885">
        <v>58904</v>
      </c>
      <c r="W8" s="885">
        <v>160</v>
      </c>
      <c r="X8" s="885"/>
      <c r="Y8" s="885"/>
      <c r="Z8" s="894">
        <v>10639</v>
      </c>
      <c r="AA8" s="888">
        <f t="shared" si="2"/>
        <v>69703</v>
      </c>
    </row>
    <row r="9" spans="1:29" ht="30" customHeight="1" x14ac:dyDescent="0.2">
      <c r="A9" s="895" t="s">
        <v>197</v>
      </c>
      <c r="B9" s="889">
        <v>116476</v>
      </c>
      <c r="C9" s="890"/>
      <c r="D9" s="890">
        <v>15835</v>
      </c>
      <c r="E9" s="890">
        <v>662</v>
      </c>
      <c r="F9" s="890"/>
      <c r="G9" s="885"/>
      <c r="H9" s="886">
        <f t="shared" si="0"/>
        <v>132973</v>
      </c>
      <c r="I9" s="885">
        <v>127875</v>
      </c>
      <c r="J9" s="885">
        <v>560</v>
      </c>
      <c r="K9" s="885"/>
      <c r="L9" s="885"/>
      <c r="M9" s="885">
        <v>4538</v>
      </c>
      <c r="N9" s="891">
        <f t="shared" si="3"/>
        <v>132973</v>
      </c>
      <c r="O9" s="889">
        <v>124632</v>
      </c>
      <c r="P9" s="890"/>
      <c r="Q9" s="890">
        <v>23096</v>
      </c>
      <c r="R9" s="890">
        <v>2190</v>
      </c>
      <c r="S9" s="890">
        <v>747</v>
      </c>
      <c r="T9" s="885">
        <v>58</v>
      </c>
      <c r="U9" s="886">
        <f t="shared" si="1"/>
        <v>150723</v>
      </c>
      <c r="V9" s="885">
        <v>145505</v>
      </c>
      <c r="W9" s="885">
        <v>167</v>
      </c>
      <c r="X9" s="885"/>
      <c r="Y9" s="885"/>
      <c r="Z9" s="885">
        <v>5051</v>
      </c>
      <c r="AA9" s="892">
        <f t="shared" si="2"/>
        <v>150723</v>
      </c>
    </row>
    <row r="10" spans="1:29" ht="30" customHeight="1" x14ac:dyDescent="0.2">
      <c r="A10" s="882" t="s">
        <v>70</v>
      </c>
      <c r="B10" s="889">
        <v>309904</v>
      </c>
      <c r="C10" s="890"/>
      <c r="D10" s="890">
        <v>147726</v>
      </c>
      <c r="E10" s="890">
        <v>9720</v>
      </c>
      <c r="F10" s="890">
        <v>30</v>
      </c>
      <c r="G10" s="885"/>
      <c r="H10" s="886">
        <f t="shared" si="0"/>
        <v>467380</v>
      </c>
      <c r="I10" s="885">
        <v>345118</v>
      </c>
      <c r="J10" s="885">
        <v>4073</v>
      </c>
      <c r="K10" s="885"/>
      <c r="L10" s="885"/>
      <c r="M10" s="885">
        <v>118189</v>
      </c>
      <c r="N10" s="891">
        <f t="shared" si="3"/>
        <v>467380</v>
      </c>
      <c r="O10" s="889">
        <v>312675</v>
      </c>
      <c r="P10" s="890"/>
      <c r="Q10" s="890">
        <v>159643</v>
      </c>
      <c r="R10" s="890">
        <v>3656</v>
      </c>
      <c r="S10" s="890">
        <v>-329</v>
      </c>
      <c r="T10" s="885"/>
      <c r="U10" s="886">
        <f t="shared" si="1"/>
        <v>475645</v>
      </c>
      <c r="V10" s="885">
        <v>354495</v>
      </c>
      <c r="W10" s="885">
        <v>3805</v>
      </c>
      <c r="X10" s="885"/>
      <c r="Y10" s="885"/>
      <c r="Z10" s="885">
        <v>117345</v>
      </c>
      <c r="AA10" s="892">
        <f t="shared" si="2"/>
        <v>475645</v>
      </c>
    </row>
    <row r="11" spans="1:29" ht="30" customHeight="1" thickBot="1" x14ac:dyDescent="0.25">
      <c r="A11" s="882" t="s">
        <v>722</v>
      </c>
      <c r="B11" s="896">
        <v>40070083</v>
      </c>
      <c r="C11" s="897"/>
      <c r="D11" s="897">
        <v>1703169</v>
      </c>
      <c r="E11" s="897">
        <v>274453</v>
      </c>
      <c r="F11" s="897">
        <v>3138</v>
      </c>
      <c r="G11" s="885"/>
      <c r="H11" s="886">
        <f t="shared" si="0"/>
        <v>42050843</v>
      </c>
      <c r="I11" s="885">
        <v>39903127</v>
      </c>
      <c r="J11" s="885">
        <v>111916</v>
      </c>
      <c r="K11" s="885"/>
      <c r="L11" s="885"/>
      <c r="M11" s="885">
        <v>2035800</v>
      </c>
      <c r="N11" s="898">
        <f>SUM(I11:M11)</f>
        <v>42050843</v>
      </c>
      <c r="O11" s="896">
        <v>40202124</v>
      </c>
      <c r="P11" s="897"/>
      <c r="Q11" s="897">
        <v>1414515</v>
      </c>
      <c r="R11" s="897">
        <v>246312</v>
      </c>
      <c r="S11" s="897">
        <v>-979</v>
      </c>
      <c r="T11" s="885"/>
      <c r="U11" s="886">
        <f t="shared" si="1"/>
        <v>41861972</v>
      </c>
      <c r="V11" s="885">
        <v>39269646</v>
      </c>
      <c r="W11" s="885">
        <v>134838</v>
      </c>
      <c r="X11" s="885"/>
      <c r="Y11" s="885"/>
      <c r="Z11" s="885">
        <v>2457488</v>
      </c>
      <c r="AA11" s="892">
        <f t="shared" si="2"/>
        <v>41861972</v>
      </c>
    </row>
    <row r="12" spans="1:29" ht="30" customHeight="1" thickBot="1" x14ac:dyDescent="0.25">
      <c r="A12" s="899" t="s">
        <v>723</v>
      </c>
      <c r="B12" s="900">
        <f>SUM(B3:B11)</f>
        <v>41439099</v>
      </c>
      <c r="C12" s="900">
        <f>SUM(C3:C11)</f>
        <v>1811</v>
      </c>
      <c r="D12" s="900">
        <f>SUM(D3:D11)</f>
        <v>1997922</v>
      </c>
      <c r="E12" s="900">
        <f t="shared" ref="E12:AA12" si="4">SUM(E3:E11)</f>
        <v>295612</v>
      </c>
      <c r="F12" s="900">
        <f t="shared" si="4"/>
        <v>6018</v>
      </c>
      <c r="G12" s="900">
        <f t="shared" si="4"/>
        <v>391</v>
      </c>
      <c r="H12" s="901">
        <f t="shared" si="4"/>
        <v>43740853</v>
      </c>
      <c r="I12" s="900">
        <f t="shared" si="4"/>
        <v>41317251</v>
      </c>
      <c r="J12" s="900">
        <f t="shared" si="4"/>
        <v>159402</v>
      </c>
      <c r="K12" s="900">
        <f t="shared" si="4"/>
        <v>0</v>
      </c>
      <c r="L12" s="900">
        <f t="shared" si="4"/>
        <v>0</v>
      </c>
      <c r="M12" s="900">
        <f t="shared" si="4"/>
        <v>2264200</v>
      </c>
      <c r="N12" s="902">
        <f t="shared" si="4"/>
        <v>43740853</v>
      </c>
      <c r="O12" s="903">
        <f t="shared" si="4"/>
        <v>41575330</v>
      </c>
      <c r="P12" s="900">
        <f t="shared" si="4"/>
        <v>1918</v>
      </c>
      <c r="Q12" s="900">
        <f t="shared" si="4"/>
        <v>1782580</v>
      </c>
      <c r="R12" s="900">
        <f t="shared" si="4"/>
        <v>257967</v>
      </c>
      <c r="S12" s="900">
        <f t="shared" si="4"/>
        <v>768</v>
      </c>
      <c r="T12" s="900">
        <f t="shared" si="4"/>
        <v>1385</v>
      </c>
      <c r="U12" s="901">
        <f t="shared" si="4"/>
        <v>43619948</v>
      </c>
      <c r="V12" s="900">
        <f t="shared" si="4"/>
        <v>40759279</v>
      </c>
      <c r="W12" s="900">
        <f t="shared" si="4"/>
        <v>165345</v>
      </c>
      <c r="X12" s="900">
        <f t="shared" si="4"/>
        <v>0</v>
      </c>
      <c r="Y12" s="900">
        <f t="shared" si="4"/>
        <v>0</v>
      </c>
      <c r="Z12" s="900">
        <f t="shared" si="4"/>
        <v>2695324</v>
      </c>
      <c r="AA12" s="904">
        <f t="shared" si="4"/>
        <v>43619948</v>
      </c>
    </row>
    <row r="13" spans="1:29" ht="13.5" thickTop="1" x14ac:dyDescent="0.2"/>
  </sheetData>
  <pageMargins left="0.70866141732283472" right="0.70866141732283472" top="1.1417322834645669" bottom="0.74803149606299213" header="0.51181102362204722" footer="0.31496062992125984"/>
  <pageSetup paperSize="8" scale="50" orientation="landscape" r:id="rId1"/>
  <headerFooter>
    <oddHeader>&amp;C&amp;"Times New Roman,Félkövér"&amp;14Mérlegadatok&amp;"Times New Roman,Normál"&amp;10
&amp;12/ezer Ft/&amp;R&amp;"MS Sans Serif,Félkövér"&amp;12 &amp;"Times New Roman,Normál"19.sz.melléklet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workbookViewId="0">
      <selection activeCell="J22" sqref="J22"/>
    </sheetView>
  </sheetViews>
  <sheetFormatPr defaultColWidth="8.85546875" defaultRowHeight="15" x14ac:dyDescent="0.25"/>
  <cols>
    <col min="1" max="1" width="7.7109375" style="1045" customWidth="1"/>
    <col min="2" max="2" width="40.42578125" style="909" customWidth="1"/>
    <col min="3" max="3" width="12.7109375" style="909" customWidth="1"/>
    <col min="4" max="4" width="11.42578125" style="909" customWidth="1"/>
    <col min="5" max="6" width="12.7109375" style="909" customWidth="1"/>
    <col min="7" max="7" width="15.28515625" style="1046" customWidth="1"/>
    <col min="8" max="8" width="12.85546875" style="1047" customWidth="1"/>
    <col min="9" max="9" width="14.140625" style="1047" customWidth="1"/>
    <col min="10" max="10" width="13.85546875" style="1046" customWidth="1"/>
    <col min="11" max="11" width="12.7109375" style="1046" customWidth="1"/>
    <col min="12" max="12" width="14.28515625" style="1046" customWidth="1"/>
    <col min="13" max="14" width="12.7109375" style="1046" customWidth="1"/>
    <col min="15" max="15" width="13.42578125" style="909" customWidth="1"/>
    <col min="16" max="16" width="12.7109375" style="909" customWidth="1"/>
    <col min="17" max="17" width="9.85546875" style="909" bestFit="1" customWidth="1"/>
    <col min="18" max="16384" width="8.85546875" style="909"/>
  </cols>
  <sheetData>
    <row r="1" spans="1:17" ht="29.25" customHeight="1" thickTop="1" x14ac:dyDescent="0.25">
      <c r="A1" s="1311" t="s">
        <v>724</v>
      </c>
      <c r="B1" s="1313" t="s">
        <v>66</v>
      </c>
      <c r="C1" s="906" t="s">
        <v>725</v>
      </c>
      <c r="D1" s="907"/>
      <c r="E1" s="907"/>
      <c r="F1" s="1315" t="s">
        <v>726</v>
      </c>
      <c r="G1" s="906" t="s">
        <v>727</v>
      </c>
      <c r="H1" s="907"/>
      <c r="I1" s="908"/>
      <c r="J1" s="1317" t="s">
        <v>728</v>
      </c>
      <c r="K1" s="1318"/>
      <c r="L1" s="1318"/>
      <c r="M1" s="1319" t="s">
        <v>729</v>
      </c>
      <c r="N1" s="1320"/>
      <c r="O1" s="1321" t="s">
        <v>730</v>
      </c>
      <c r="P1" s="1309" t="s">
        <v>731</v>
      </c>
    </row>
    <row r="2" spans="1:17" ht="69.75" customHeight="1" thickBot="1" x14ac:dyDescent="0.3">
      <c r="A2" s="1312"/>
      <c r="B2" s="1314"/>
      <c r="C2" s="910" t="s">
        <v>732</v>
      </c>
      <c r="D2" s="911" t="s">
        <v>733</v>
      </c>
      <c r="E2" s="911" t="s">
        <v>734</v>
      </c>
      <c r="F2" s="1316"/>
      <c r="G2" s="910" t="s">
        <v>732</v>
      </c>
      <c r="H2" s="911" t="s">
        <v>733</v>
      </c>
      <c r="I2" s="912" t="s">
        <v>734</v>
      </c>
      <c r="J2" s="910" t="s">
        <v>732</v>
      </c>
      <c r="K2" s="911" t="s">
        <v>733</v>
      </c>
      <c r="L2" s="911" t="s">
        <v>734</v>
      </c>
      <c r="M2" s="913" t="s">
        <v>732</v>
      </c>
      <c r="N2" s="911" t="s">
        <v>735</v>
      </c>
      <c r="O2" s="1322"/>
      <c r="P2" s="1310"/>
    </row>
    <row r="3" spans="1:17" ht="30" customHeight="1" x14ac:dyDescent="0.25">
      <c r="A3" s="914" t="s">
        <v>736</v>
      </c>
      <c r="B3" s="915" t="s">
        <v>737</v>
      </c>
      <c r="C3" s="916">
        <v>0</v>
      </c>
      <c r="D3" s="917">
        <v>0</v>
      </c>
      <c r="E3" s="918">
        <f>C3-D3</f>
        <v>0</v>
      </c>
      <c r="F3" s="919">
        <v>0</v>
      </c>
      <c r="G3" s="916">
        <v>70953</v>
      </c>
      <c r="H3" s="917">
        <v>66708</v>
      </c>
      <c r="I3" s="920">
        <f>G3-H3</f>
        <v>4245</v>
      </c>
      <c r="J3" s="916">
        <v>172005</v>
      </c>
      <c r="K3" s="917">
        <v>160410</v>
      </c>
      <c r="L3" s="920">
        <f>J3-K3</f>
        <v>11595</v>
      </c>
      <c r="M3" s="916">
        <v>213399</v>
      </c>
      <c r="N3" s="917">
        <v>3222</v>
      </c>
      <c r="O3" s="916">
        <v>1000</v>
      </c>
      <c r="P3" s="921"/>
      <c r="Q3" s="1047"/>
    </row>
    <row r="4" spans="1:17" ht="20.100000000000001" customHeight="1" x14ac:dyDescent="0.25">
      <c r="A4" s="922" t="s">
        <v>738</v>
      </c>
      <c r="B4" s="923" t="s">
        <v>739</v>
      </c>
      <c r="C4" s="924">
        <v>26144217</v>
      </c>
      <c r="D4" s="925">
        <v>4990737</v>
      </c>
      <c r="E4" s="926">
        <f>C4-D4</f>
        <v>21153480</v>
      </c>
      <c r="F4" s="927"/>
      <c r="G4" s="924">
        <v>16796653</v>
      </c>
      <c r="H4" s="925">
        <v>2919180</v>
      </c>
      <c r="I4" s="928">
        <f t="shared" ref="I4:I13" si="0">G4-H4</f>
        <v>13877473</v>
      </c>
      <c r="J4" s="924">
        <v>2113656</v>
      </c>
      <c r="K4" s="925">
        <v>410150</v>
      </c>
      <c r="L4" s="928">
        <f t="shared" ref="L4:L13" si="1">J4-K4</f>
        <v>1703506</v>
      </c>
      <c r="M4" s="929">
        <v>324288</v>
      </c>
      <c r="N4" s="925">
        <v>40</v>
      </c>
      <c r="O4" s="924">
        <v>539648</v>
      </c>
      <c r="P4" s="930"/>
      <c r="Q4" s="1047"/>
    </row>
    <row r="5" spans="1:17" ht="20.100000000000001" customHeight="1" x14ac:dyDescent="0.25">
      <c r="A5" s="922" t="s">
        <v>740</v>
      </c>
      <c r="B5" s="923" t="s">
        <v>741</v>
      </c>
      <c r="C5" s="924"/>
      <c r="D5" s="925"/>
      <c r="E5" s="931">
        <f t="shared" ref="E5:E8" si="2">C5-D5</f>
        <v>0</v>
      </c>
      <c r="F5" s="927"/>
      <c r="G5" s="924">
        <v>752391</v>
      </c>
      <c r="H5" s="925">
        <v>608747</v>
      </c>
      <c r="I5" s="928">
        <f t="shared" si="0"/>
        <v>143644</v>
      </c>
      <c r="J5" s="924">
        <v>1486022</v>
      </c>
      <c r="K5" s="925">
        <v>1308366</v>
      </c>
      <c r="L5" s="928">
        <f t="shared" si="1"/>
        <v>177656</v>
      </c>
      <c r="M5" s="924">
        <v>1718514</v>
      </c>
      <c r="N5" s="925">
        <v>122989</v>
      </c>
      <c r="O5" s="924">
        <v>71853</v>
      </c>
      <c r="P5" s="932">
        <v>103976</v>
      </c>
      <c r="Q5" s="1047"/>
    </row>
    <row r="6" spans="1:17" ht="20.100000000000001" customHeight="1" x14ac:dyDescent="0.25">
      <c r="A6" s="922" t="s">
        <v>742</v>
      </c>
      <c r="B6" s="923" t="s">
        <v>743</v>
      </c>
      <c r="C6" s="924"/>
      <c r="D6" s="925"/>
      <c r="E6" s="931">
        <f t="shared" si="2"/>
        <v>0</v>
      </c>
      <c r="F6" s="927"/>
      <c r="G6" s="924"/>
      <c r="H6" s="925"/>
      <c r="I6" s="928">
        <f t="shared" si="0"/>
        <v>0</v>
      </c>
      <c r="J6" s="924"/>
      <c r="K6" s="925"/>
      <c r="L6" s="928">
        <f t="shared" si="1"/>
        <v>0</v>
      </c>
      <c r="M6" s="924"/>
      <c r="N6" s="925"/>
      <c r="O6" s="933"/>
      <c r="P6" s="930"/>
      <c r="Q6" s="1047"/>
    </row>
    <row r="7" spans="1:17" ht="20.100000000000001" customHeight="1" x14ac:dyDescent="0.25">
      <c r="A7" s="922" t="s">
        <v>744</v>
      </c>
      <c r="B7" s="923" t="s">
        <v>745</v>
      </c>
      <c r="C7" s="924"/>
      <c r="D7" s="925"/>
      <c r="E7" s="931">
        <f t="shared" si="2"/>
        <v>0</v>
      </c>
      <c r="F7" s="927"/>
      <c r="G7" s="924">
        <f>289423+7</f>
        <v>289430</v>
      </c>
      <c r="H7" s="925"/>
      <c r="I7" s="928">
        <f t="shared" si="0"/>
        <v>289430</v>
      </c>
      <c r="J7" s="924"/>
      <c r="K7" s="925"/>
      <c r="L7" s="928">
        <f t="shared" si="1"/>
        <v>0</v>
      </c>
      <c r="M7" s="924"/>
      <c r="N7" s="925"/>
      <c r="O7" s="933"/>
      <c r="P7" s="930"/>
      <c r="Q7" s="1047"/>
    </row>
    <row r="8" spans="1:17" ht="20.100000000000001" customHeight="1" x14ac:dyDescent="0.25">
      <c r="A8" s="922" t="s">
        <v>746</v>
      </c>
      <c r="B8" s="923" t="s">
        <v>747</v>
      </c>
      <c r="C8" s="924"/>
      <c r="D8" s="925"/>
      <c r="E8" s="931">
        <f t="shared" si="2"/>
        <v>0</v>
      </c>
      <c r="F8" s="927"/>
      <c r="G8" s="924"/>
      <c r="H8" s="925"/>
      <c r="I8" s="928"/>
      <c r="J8" s="924"/>
      <c r="K8" s="925"/>
      <c r="L8" s="928"/>
      <c r="M8" s="924"/>
      <c r="N8" s="925"/>
      <c r="O8" s="933"/>
      <c r="P8" s="930"/>
      <c r="Q8" s="1047"/>
    </row>
    <row r="9" spans="1:17" ht="30" customHeight="1" x14ac:dyDescent="0.25">
      <c r="A9" s="934" t="s">
        <v>748</v>
      </c>
      <c r="B9" s="935" t="s">
        <v>749</v>
      </c>
      <c r="C9" s="936">
        <f>SUM(C4:C8)</f>
        <v>26144217</v>
      </c>
      <c r="D9" s="937">
        <f>SUM(D4:D8)</f>
        <v>4990737</v>
      </c>
      <c r="E9" s="938">
        <f>SUM(E4:E8)</f>
        <v>21153480</v>
      </c>
      <c r="F9" s="939">
        <v>0</v>
      </c>
      <c r="G9" s="933">
        <f>SUM(G4:G7)</f>
        <v>17838474</v>
      </c>
      <c r="H9" s="940">
        <f>SUM(H4:H7)</f>
        <v>3527927</v>
      </c>
      <c r="I9" s="941">
        <f t="shared" si="0"/>
        <v>14310547</v>
      </c>
      <c r="J9" s="933">
        <f>SUM(J4:J7)</f>
        <v>3599678</v>
      </c>
      <c r="K9" s="940">
        <f>SUM(K4:K7)</f>
        <v>1718516</v>
      </c>
      <c r="L9" s="941">
        <f t="shared" si="1"/>
        <v>1881162</v>
      </c>
      <c r="M9" s="933">
        <f>SUM(M4:M7)</f>
        <v>2042802</v>
      </c>
      <c r="N9" s="942">
        <f>SUM(N4:N7)</f>
        <v>123029</v>
      </c>
      <c r="O9" s="943">
        <f t="shared" ref="O9:P9" si="3">SUM(O4:O7)</f>
        <v>611501</v>
      </c>
      <c r="P9" s="930">
        <f t="shared" si="3"/>
        <v>103976</v>
      </c>
      <c r="Q9" s="1047"/>
    </row>
    <row r="10" spans="1:17" ht="20.100000000000001" customHeight="1" x14ac:dyDescent="0.25">
      <c r="A10" s="922" t="s">
        <v>750</v>
      </c>
      <c r="B10" s="923" t="s">
        <v>751</v>
      </c>
      <c r="C10" s="944"/>
      <c r="D10" s="945"/>
      <c r="E10" s="944">
        <f>C10-D10</f>
        <v>0</v>
      </c>
      <c r="F10" s="927"/>
      <c r="G10" s="924">
        <v>440187</v>
      </c>
      <c r="H10" s="940">
        <v>0</v>
      </c>
      <c r="I10" s="928">
        <f t="shared" si="0"/>
        <v>440187</v>
      </c>
      <c r="J10" s="924">
        <v>3587158</v>
      </c>
      <c r="K10" s="925">
        <v>4950</v>
      </c>
      <c r="L10" s="928">
        <f t="shared" si="1"/>
        <v>3582208</v>
      </c>
      <c r="M10" s="946"/>
      <c r="N10" s="947"/>
      <c r="O10" s="948"/>
      <c r="P10" s="949"/>
      <c r="Q10" s="1047"/>
    </row>
    <row r="11" spans="1:17" ht="20.100000000000001" customHeight="1" x14ac:dyDescent="0.25">
      <c r="A11" s="922" t="s">
        <v>752</v>
      </c>
      <c r="B11" s="923" t="s">
        <v>753</v>
      </c>
      <c r="C11" s="944"/>
      <c r="D11" s="945"/>
      <c r="E11" s="944">
        <f t="shared" ref="E11:E13" si="4">C11-D11</f>
        <v>0</v>
      </c>
      <c r="F11" s="927"/>
      <c r="G11" s="933"/>
      <c r="H11" s="940"/>
      <c r="I11" s="928">
        <f t="shared" si="0"/>
        <v>0</v>
      </c>
      <c r="J11" s="933"/>
      <c r="K11" s="940"/>
      <c r="L11" s="928">
        <f t="shared" si="1"/>
        <v>0</v>
      </c>
      <c r="M11" s="946"/>
      <c r="N11" s="947"/>
      <c r="O11" s="948"/>
      <c r="P11" s="949"/>
      <c r="Q11" s="1047"/>
    </row>
    <row r="12" spans="1:17" ht="20.100000000000001" customHeight="1" x14ac:dyDescent="0.25">
      <c r="A12" s="922" t="s">
        <v>754</v>
      </c>
      <c r="B12" s="923" t="s">
        <v>755</v>
      </c>
      <c r="C12" s="944"/>
      <c r="D12" s="945"/>
      <c r="E12" s="944">
        <f t="shared" si="4"/>
        <v>0</v>
      </c>
      <c r="F12" s="927"/>
      <c r="G12" s="933"/>
      <c r="H12" s="940"/>
      <c r="I12" s="928">
        <f>G12-H12</f>
        <v>0</v>
      </c>
      <c r="J12" s="933"/>
      <c r="K12" s="940"/>
      <c r="L12" s="928">
        <f t="shared" si="1"/>
        <v>0</v>
      </c>
      <c r="M12" s="946"/>
      <c r="N12" s="947"/>
      <c r="O12" s="948"/>
      <c r="P12" s="949"/>
      <c r="Q12" s="1047"/>
    </row>
    <row r="13" spans="1:17" s="961" customFormat="1" ht="30" customHeight="1" x14ac:dyDescent="0.25">
      <c r="A13" s="950" t="s">
        <v>756</v>
      </c>
      <c r="B13" s="951" t="s">
        <v>757</v>
      </c>
      <c r="C13" s="952">
        <f>SUM(C10:C12)</f>
        <v>0</v>
      </c>
      <c r="D13" s="953">
        <f>SUM(D10:D12)</f>
        <v>0</v>
      </c>
      <c r="E13" s="954">
        <f t="shared" si="4"/>
        <v>0</v>
      </c>
      <c r="F13" s="955">
        <v>0</v>
      </c>
      <c r="G13" s="956">
        <f t="shared" ref="G13:H13" si="5">SUM(G10:G12)</f>
        <v>440187</v>
      </c>
      <c r="H13" s="953">
        <f t="shared" si="5"/>
        <v>0</v>
      </c>
      <c r="I13" s="957">
        <f t="shared" si="0"/>
        <v>440187</v>
      </c>
      <c r="J13" s="956">
        <f t="shared" ref="J13:K13" si="6">SUM(J10:J12)</f>
        <v>3587158</v>
      </c>
      <c r="K13" s="953">
        <f t="shared" si="6"/>
        <v>4950</v>
      </c>
      <c r="L13" s="957">
        <f t="shared" si="1"/>
        <v>3582208</v>
      </c>
      <c r="M13" s="958">
        <f>SUM(M10:M12)</f>
        <v>0</v>
      </c>
      <c r="N13" s="957">
        <f>SUM(N10:N12)</f>
        <v>0</v>
      </c>
      <c r="O13" s="959">
        <f>SUM(O10:O12)</f>
        <v>0</v>
      </c>
      <c r="P13" s="960">
        <f>SUM(P10:P12)</f>
        <v>0</v>
      </c>
      <c r="Q13" s="1047"/>
    </row>
    <row r="14" spans="1:17" s="961" customFormat="1" ht="30" customHeight="1" thickBot="1" x14ac:dyDescent="0.3">
      <c r="A14" s="962" t="s">
        <v>758</v>
      </c>
      <c r="B14" s="963" t="s">
        <v>759</v>
      </c>
      <c r="C14" s="964"/>
      <c r="D14" s="965"/>
      <c r="E14" s="964">
        <f>C14-D14</f>
        <v>0</v>
      </c>
      <c r="F14" s="966">
        <v>0</v>
      </c>
      <c r="G14" s="967"/>
      <c r="H14" s="968"/>
      <c r="I14" s="969">
        <v>0</v>
      </c>
      <c r="J14" s="967"/>
      <c r="K14" s="968"/>
      <c r="L14" s="969">
        <v>0</v>
      </c>
      <c r="M14" s="970"/>
      <c r="N14" s="971"/>
      <c r="O14" s="972"/>
      <c r="P14" s="973"/>
      <c r="Q14" s="1047"/>
    </row>
    <row r="15" spans="1:17" s="986" customFormat="1" ht="30" customHeight="1" thickBot="1" x14ac:dyDescent="0.3">
      <c r="A15" s="974" t="s">
        <v>760</v>
      </c>
      <c r="B15" s="975" t="s">
        <v>761</v>
      </c>
      <c r="C15" s="976">
        <f>C3+C9+C13+C14</f>
        <v>26144217</v>
      </c>
      <c r="D15" s="977">
        <f t="shared" ref="D15:P15" si="7">D3+D9+D13+D14</f>
        <v>4990737</v>
      </c>
      <c r="E15" s="978">
        <f t="shared" si="7"/>
        <v>21153480</v>
      </c>
      <c r="F15" s="979">
        <f t="shared" si="7"/>
        <v>0</v>
      </c>
      <c r="G15" s="980">
        <f t="shared" si="7"/>
        <v>18349614</v>
      </c>
      <c r="H15" s="981">
        <f t="shared" si="7"/>
        <v>3594635</v>
      </c>
      <c r="I15" s="982">
        <f t="shared" si="7"/>
        <v>14754979</v>
      </c>
      <c r="J15" s="980">
        <f t="shared" si="7"/>
        <v>7358841</v>
      </c>
      <c r="K15" s="981">
        <f t="shared" si="7"/>
        <v>1883876</v>
      </c>
      <c r="L15" s="982">
        <f t="shared" si="7"/>
        <v>5474965</v>
      </c>
      <c r="M15" s="980">
        <f t="shared" si="7"/>
        <v>2256201</v>
      </c>
      <c r="N15" s="983">
        <f t="shared" si="7"/>
        <v>126251</v>
      </c>
      <c r="O15" s="984">
        <f t="shared" si="7"/>
        <v>612501</v>
      </c>
      <c r="P15" s="985">
        <f t="shared" si="7"/>
        <v>103976</v>
      </c>
      <c r="Q15" s="1047"/>
    </row>
    <row r="16" spans="1:17" s="986" customFormat="1" ht="30" customHeight="1" x14ac:dyDescent="0.2">
      <c r="A16" s="987" t="s">
        <v>762</v>
      </c>
      <c r="B16" s="988" t="s">
        <v>763</v>
      </c>
      <c r="C16" s="989"/>
      <c r="D16" s="990"/>
      <c r="E16" s="991">
        <f>C16-D16</f>
        <v>0</v>
      </c>
      <c r="F16" s="992"/>
      <c r="G16" s="916"/>
      <c r="H16" s="993"/>
      <c r="I16" s="994">
        <f>G16-H16</f>
        <v>0</v>
      </c>
      <c r="J16" s="916">
        <v>1918</v>
      </c>
      <c r="K16" s="993"/>
      <c r="L16" s="994">
        <f>J16-K16</f>
        <v>1918</v>
      </c>
      <c r="M16" s="916"/>
      <c r="N16" s="995"/>
      <c r="O16" s="996"/>
      <c r="P16" s="997"/>
    </row>
    <row r="17" spans="1:16" s="961" customFormat="1" ht="30" customHeight="1" thickBot="1" x14ac:dyDescent="0.25">
      <c r="A17" s="987" t="s">
        <v>764</v>
      </c>
      <c r="B17" s="988" t="s">
        <v>765</v>
      </c>
      <c r="C17" s="998"/>
      <c r="D17" s="999"/>
      <c r="E17" s="998">
        <f>C17-D17</f>
        <v>0</v>
      </c>
      <c r="F17" s="1000"/>
      <c r="G17" s="967"/>
      <c r="H17" s="1001"/>
      <c r="I17" s="969">
        <f>G17-H17</f>
        <v>0</v>
      </c>
      <c r="J17" s="967"/>
      <c r="K17" s="1001"/>
      <c r="L17" s="969">
        <f>J17-K17</f>
        <v>0</v>
      </c>
      <c r="M17" s="967"/>
      <c r="N17" s="1002"/>
      <c r="O17" s="1003"/>
      <c r="P17" s="1004"/>
    </row>
    <row r="18" spans="1:16" s="986" customFormat="1" ht="30" customHeight="1" thickBot="1" x14ac:dyDescent="0.25">
      <c r="A18" s="974" t="s">
        <v>766</v>
      </c>
      <c r="B18" s="975" t="s">
        <v>767</v>
      </c>
      <c r="C18" s="1005">
        <f t="shared" ref="C18:P18" si="8">SUM(C16:C17)</f>
        <v>0</v>
      </c>
      <c r="D18" s="1006">
        <f t="shared" si="8"/>
        <v>0</v>
      </c>
      <c r="E18" s="1007">
        <f t="shared" si="8"/>
        <v>0</v>
      </c>
      <c r="F18" s="1008">
        <f t="shared" si="8"/>
        <v>0</v>
      </c>
      <c r="G18" s="976">
        <f t="shared" si="8"/>
        <v>0</v>
      </c>
      <c r="H18" s="977">
        <f t="shared" si="8"/>
        <v>0</v>
      </c>
      <c r="I18" s="978">
        <f t="shared" si="8"/>
        <v>0</v>
      </c>
      <c r="J18" s="976">
        <f t="shared" si="8"/>
        <v>1918</v>
      </c>
      <c r="K18" s="977">
        <f t="shared" si="8"/>
        <v>0</v>
      </c>
      <c r="L18" s="978">
        <f t="shared" si="8"/>
        <v>1918</v>
      </c>
      <c r="M18" s="976">
        <f t="shared" si="8"/>
        <v>0</v>
      </c>
      <c r="N18" s="1009">
        <f t="shared" si="8"/>
        <v>0</v>
      </c>
      <c r="O18" s="1010">
        <f t="shared" si="8"/>
        <v>0</v>
      </c>
      <c r="P18" s="1011">
        <f t="shared" si="8"/>
        <v>0</v>
      </c>
    </row>
    <row r="19" spans="1:16" s="961" customFormat="1" ht="30" customHeight="1" x14ac:dyDescent="0.2">
      <c r="A19" s="987" t="s">
        <v>768</v>
      </c>
      <c r="B19" s="988" t="s">
        <v>769</v>
      </c>
      <c r="C19" s="1012"/>
      <c r="D19" s="1013"/>
      <c r="E19" s="1012">
        <f>C19-D19</f>
        <v>0</v>
      </c>
      <c r="F19" s="1014"/>
      <c r="G19" s="1015"/>
      <c r="H19" s="1016"/>
      <c r="I19" s="1017">
        <f>G19-H19</f>
        <v>0</v>
      </c>
      <c r="J19" s="916">
        <v>0</v>
      </c>
      <c r="K19" s="993"/>
      <c r="L19" s="994">
        <f>J19-K19</f>
        <v>0</v>
      </c>
      <c r="M19" s="1018"/>
      <c r="N19" s="1019"/>
      <c r="O19" s="1020"/>
      <c r="P19" s="1021"/>
    </row>
    <row r="20" spans="1:16" s="961" customFormat="1" ht="30" customHeight="1" x14ac:dyDescent="0.2">
      <c r="A20" s="987" t="s">
        <v>770</v>
      </c>
      <c r="B20" s="988" t="s">
        <v>771</v>
      </c>
      <c r="C20" s="1012"/>
      <c r="D20" s="1013"/>
      <c r="E20" s="1012">
        <f>C20-D20</f>
        <v>0</v>
      </c>
      <c r="F20" s="1014"/>
      <c r="G20" s="1015"/>
      <c r="H20" s="1016"/>
      <c r="I20" s="1017">
        <f>G20-H20</f>
        <v>0</v>
      </c>
      <c r="J20" s="933">
        <v>1358</v>
      </c>
      <c r="K20" s="1022"/>
      <c r="L20" s="957">
        <f>J20-K20</f>
        <v>1358</v>
      </c>
      <c r="M20" s="1018"/>
      <c r="N20" s="1019"/>
      <c r="O20" s="1023"/>
      <c r="P20" s="1024"/>
    </row>
    <row r="21" spans="1:16" s="961" customFormat="1" ht="30" customHeight="1" x14ac:dyDescent="0.2">
      <c r="A21" s="987" t="s">
        <v>772</v>
      </c>
      <c r="B21" s="988" t="s">
        <v>773</v>
      </c>
      <c r="C21" s="1012"/>
      <c r="D21" s="1013"/>
      <c r="E21" s="1012">
        <f t="shared" ref="E21:E22" si="9">C21-D21</f>
        <v>0</v>
      </c>
      <c r="F21" s="1014"/>
      <c r="G21" s="1015"/>
      <c r="H21" s="1016"/>
      <c r="I21" s="1017">
        <f t="shared" ref="I21:I22" si="10">G21-H21</f>
        <v>0</v>
      </c>
      <c r="J21" s="933">
        <v>1781224</v>
      </c>
      <c r="K21" s="1022"/>
      <c r="L21" s="957">
        <f t="shared" ref="L21:L22" si="11">J21-K21</f>
        <v>1781224</v>
      </c>
      <c r="M21" s="1018"/>
      <c r="N21" s="1019"/>
      <c r="O21" s="1023"/>
      <c r="P21" s="1024"/>
    </row>
    <row r="22" spans="1:16" s="961" customFormat="1" ht="30" customHeight="1" x14ac:dyDescent="0.2">
      <c r="A22" s="987" t="s">
        <v>774</v>
      </c>
      <c r="B22" s="988" t="s">
        <v>775</v>
      </c>
      <c r="C22" s="956"/>
      <c r="D22" s="953"/>
      <c r="E22" s="1012">
        <f t="shared" si="9"/>
        <v>0</v>
      </c>
      <c r="F22" s="1014"/>
      <c r="G22" s="1018"/>
      <c r="H22" s="1022"/>
      <c r="I22" s="1017">
        <f t="shared" si="10"/>
        <v>0</v>
      </c>
      <c r="J22" s="933">
        <v>0</v>
      </c>
      <c r="K22" s="1022"/>
      <c r="L22" s="957">
        <f t="shared" si="11"/>
        <v>0</v>
      </c>
      <c r="M22" s="1018"/>
      <c r="N22" s="1019"/>
      <c r="O22" s="1023"/>
      <c r="P22" s="1024"/>
    </row>
    <row r="23" spans="1:16" ht="30" customHeight="1" thickBot="1" x14ac:dyDescent="0.3">
      <c r="A23" s="1025" t="s">
        <v>776</v>
      </c>
      <c r="B23" s="1026" t="s">
        <v>777</v>
      </c>
      <c r="C23" s="1027">
        <f>SUM(C19:C22)</f>
        <v>0</v>
      </c>
      <c r="D23" s="1028">
        <f t="shared" ref="D23:N23" si="12">SUM(D19:D22)</f>
        <v>0</v>
      </c>
      <c r="E23" s="1029">
        <f t="shared" si="12"/>
        <v>0</v>
      </c>
      <c r="F23" s="1030">
        <f t="shared" si="12"/>
        <v>0</v>
      </c>
      <c r="G23" s="1027">
        <f t="shared" si="12"/>
        <v>0</v>
      </c>
      <c r="H23" s="1028">
        <f t="shared" si="12"/>
        <v>0</v>
      </c>
      <c r="I23" s="1029">
        <f t="shared" si="12"/>
        <v>0</v>
      </c>
      <c r="J23" s="1031">
        <f>SUM(J19:J22)</f>
        <v>1782582</v>
      </c>
      <c r="K23" s="1028">
        <f t="shared" si="12"/>
        <v>0</v>
      </c>
      <c r="L23" s="1029">
        <f t="shared" si="12"/>
        <v>1782582</v>
      </c>
      <c r="M23" s="1027">
        <f t="shared" si="12"/>
        <v>0</v>
      </c>
      <c r="N23" s="1032">
        <f t="shared" si="12"/>
        <v>0</v>
      </c>
      <c r="O23" s="1033">
        <f>SUM(O19:O22)</f>
        <v>0</v>
      </c>
      <c r="P23" s="1034">
        <f>SUM(P19:P22)</f>
        <v>0</v>
      </c>
    </row>
    <row r="24" spans="1:16" s="1044" customFormat="1" ht="30" customHeight="1" thickBot="1" x14ac:dyDescent="0.3">
      <c r="A24" s="1035"/>
      <c r="B24" s="1036" t="s">
        <v>778</v>
      </c>
      <c r="C24" s="1037">
        <f t="shared" ref="C24:P24" si="13">C15+C18+C23</f>
        <v>26144217</v>
      </c>
      <c r="D24" s="1038">
        <f t="shared" si="13"/>
        <v>4990737</v>
      </c>
      <c r="E24" s="1039">
        <f t="shared" si="13"/>
        <v>21153480</v>
      </c>
      <c r="F24" s="1040">
        <f t="shared" si="13"/>
        <v>0</v>
      </c>
      <c r="G24" s="1037">
        <f t="shared" si="13"/>
        <v>18349614</v>
      </c>
      <c r="H24" s="1038">
        <f t="shared" si="13"/>
        <v>3594635</v>
      </c>
      <c r="I24" s="1039">
        <f t="shared" si="13"/>
        <v>14754979</v>
      </c>
      <c r="J24" s="1037">
        <f t="shared" si="13"/>
        <v>9143341</v>
      </c>
      <c r="K24" s="1038">
        <f t="shared" si="13"/>
        <v>1883876</v>
      </c>
      <c r="L24" s="1039">
        <f t="shared" si="13"/>
        <v>7259465</v>
      </c>
      <c r="M24" s="1037">
        <f t="shared" si="13"/>
        <v>2256201</v>
      </c>
      <c r="N24" s="1041">
        <f t="shared" si="13"/>
        <v>126251</v>
      </c>
      <c r="O24" s="1042">
        <f t="shared" si="13"/>
        <v>612501</v>
      </c>
      <c r="P24" s="1043">
        <f t="shared" si="13"/>
        <v>103976</v>
      </c>
    </row>
    <row r="25" spans="1:16" ht="15.75" thickTop="1" x14ac:dyDescent="0.25"/>
  </sheetData>
  <mergeCells count="7">
    <mergeCell ref="P1:P2"/>
    <mergeCell ref="A1:A2"/>
    <mergeCell ref="B1:B2"/>
    <mergeCell ref="F1:F2"/>
    <mergeCell ref="J1:L1"/>
    <mergeCell ref="M1:N1"/>
    <mergeCell ref="O1:O2"/>
  </mergeCells>
  <pageMargins left="0.70866141732283472" right="0.70866141732283472" top="1.3385826771653544" bottom="0.74803149606299213" header="0.51181102362204722" footer="0.31496062992125984"/>
  <pageSetup paperSize="8" scale="57" orientation="landscape" r:id="rId1"/>
  <headerFooter>
    <oddHeader>&amp;C&amp;"Times New Roman,Félkövér"&amp;14Vagyonkimutatás&amp;"-,Normál"&amp;11
/ezer Ft/&amp;R&amp;"Times New Roman,Félkövér"&amp;12 &amp;"Times New Roman,Normál"20.sz.melléklet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N14" sqref="N14"/>
    </sheetView>
  </sheetViews>
  <sheetFormatPr defaultRowHeight="12.75" x14ac:dyDescent="0.2"/>
  <cols>
    <col min="1" max="1" width="39.5703125" customWidth="1"/>
    <col min="2" max="6" width="8.7109375" customWidth="1"/>
    <col min="7" max="7" width="8.7109375" style="1081" customWidth="1"/>
    <col min="8" max="13" width="8.28515625" style="41" customWidth="1"/>
    <col min="14" max="14" width="9.28515625" style="41" customWidth="1"/>
    <col min="15" max="15" width="9.5703125" style="41" customWidth="1"/>
  </cols>
  <sheetData>
    <row r="1" spans="1:17" ht="21" thickTop="1" x14ac:dyDescent="0.2">
      <c r="A1" s="867"/>
      <c r="B1" s="868" t="s">
        <v>835</v>
      </c>
      <c r="C1" s="869"/>
      <c r="D1" s="870"/>
      <c r="E1" s="870"/>
      <c r="F1" s="870"/>
      <c r="G1" s="1048"/>
      <c r="H1" s="868" t="s">
        <v>779</v>
      </c>
      <c r="I1" s="1049"/>
      <c r="J1" s="1049"/>
      <c r="K1" s="1049"/>
      <c r="L1" s="1049"/>
      <c r="M1" s="1049"/>
      <c r="N1" s="1049"/>
      <c r="O1" s="1050"/>
      <c r="P1" s="1"/>
      <c r="Q1" s="874"/>
    </row>
    <row r="2" spans="1:17" ht="177" customHeight="1" thickBot="1" x14ac:dyDescent="0.25">
      <c r="A2" s="875" t="s">
        <v>66</v>
      </c>
      <c r="B2" s="876" t="s">
        <v>780</v>
      </c>
      <c r="C2" s="876" t="s">
        <v>781</v>
      </c>
      <c r="D2" s="876" t="s">
        <v>782</v>
      </c>
      <c r="E2" s="876" t="s">
        <v>783</v>
      </c>
      <c r="F2" s="876" t="s">
        <v>784</v>
      </c>
      <c r="G2" s="879" t="s">
        <v>785</v>
      </c>
      <c r="H2" s="1051" t="s">
        <v>77</v>
      </c>
      <c r="I2" s="1051" t="s">
        <v>79</v>
      </c>
      <c r="J2" s="1051" t="s">
        <v>841</v>
      </c>
      <c r="K2" s="1051" t="s">
        <v>786</v>
      </c>
      <c r="L2" s="1051" t="s">
        <v>787</v>
      </c>
      <c r="M2" s="1051" t="s">
        <v>788</v>
      </c>
      <c r="N2" s="1051" t="s">
        <v>789</v>
      </c>
      <c r="O2" s="1052" t="s">
        <v>790</v>
      </c>
      <c r="P2" s="881"/>
      <c r="Q2" s="881"/>
    </row>
    <row r="3" spans="1:17" ht="30" customHeight="1" x14ac:dyDescent="0.2">
      <c r="A3" s="882" t="s">
        <v>30</v>
      </c>
      <c r="B3" s="885">
        <v>38315</v>
      </c>
      <c r="C3" s="885"/>
      <c r="D3" s="885">
        <v>37764</v>
      </c>
      <c r="E3" s="885">
        <v>0</v>
      </c>
      <c r="F3" s="885">
        <v>2343</v>
      </c>
      <c r="G3" s="1053">
        <f t="shared" ref="G3:G11" si="0">SUM((D3+E3)-F3)</f>
        <v>35421</v>
      </c>
      <c r="H3" s="1054">
        <v>23100</v>
      </c>
      <c r="I3" s="1054">
        <v>3580</v>
      </c>
      <c r="J3" s="1054">
        <v>8741</v>
      </c>
      <c r="K3" s="1054"/>
      <c r="L3" s="1054"/>
      <c r="M3" s="1054"/>
      <c r="N3" s="1055">
        <f t="shared" ref="N3:N11" si="1">SUM(G3-H3-I3-J3-K3-L3-M3)</f>
        <v>0</v>
      </c>
      <c r="O3" s="1056"/>
    </row>
    <row r="4" spans="1:17" ht="30" customHeight="1" x14ac:dyDescent="0.2">
      <c r="A4" s="882" t="s">
        <v>363</v>
      </c>
      <c r="B4" s="885">
        <v>20632</v>
      </c>
      <c r="C4" s="885"/>
      <c r="D4" s="885">
        <v>21310</v>
      </c>
      <c r="E4" s="885">
        <v>0</v>
      </c>
      <c r="F4" s="885">
        <v>13680</v>
      </c>
      <c r="G4" s="1053">
        <f t="shared" si="0"/>
        <v>7630</v>
      </c>
      <c r="H4" s="1054">
        <f>5172-108</f>
        <v>5064</v>
      </c>
      <c r="I4" s="1054">
        <f>860-58</f>
        <v>802</v>
      </c>
      <c r="J4" s="1054">
        <f>739+108+58</f>
        <v>905</v>
      </c>
      <c r="K4" s="1054"/>
      <c r="L4" s="1054">
        <v>859</v>
      </c>
      <c r="M4" s="1054"/>
      <c r="N4" s="1055">
        <f t="shared" si="1"/>
        <v>0</v>
      </c>
      <c r="O4" s="1057"/>
    </row>
    <row r="5" spans="1:17" ht="30" customHeight="1" x14ac:dyDescent="0.2">
      <c r="A5" s="1058" t="s">
        <v>399</v>
      </c>
      <c r="B5" s="885">
        <v>56968</v>
      </c>
      <c r="C5" s="885"/>
      <c r="D5" s="885">
        <v>49928</v>
      </c>
      <c r="E5" s="885">
        <v>0</v>
      </c>
      <c r="F5" s="885">
        <v>38303</v>
      </c>
      <c r="G5" s="1053">
        <f t="shared" si="0"/>
        <v>11625</v>
      </c>
      <c r="H5" s="1054">
        <v>5773</v>
      </c>
      <c r="I5" s="1054">
        <f>952-58</f>
        <v>894</v>
      </c>
      <c r="J5" s="1054">
        <f>1347+58</f>
        <v>1405</v>
      </c>
      <c r="K5" s="1054"/>
      <c r="L5" s="1054">
        <v>3552</v>
      </c>
      <c r="M5" s="1054"/>
      <c r="N5" s="1055">
        <f t="shared" si="1"/>
        <v>1</v>
      </c>
      <c r="O5" s="1057">
        <v>1</v>
      </c>
    </row>
    <row r="6" spans="1:17" ht="30" customHeight="1" x14ac:dyDescent="0.2">
      <c r="A6" s="1058" t="s">
        <v>721</v>
      </c>
      <c r="B6" s="885">
        <v>62959</v>
      </c>
      <c r="C6" s="885"/>
      <c r="D6" s="885">
        <v>65088</v>
      </c>
      <c r="E6" s="885">
        <v>0</v>
      </c>
      <c r="F6" s="885">
        <v>25719</v>
      </c>
      <c r="G6" s="1053">
        <f t="shared" si="0"/>
        <v>39369</v>
      </c>
      <c r="H6" s="1054">
        <v>17937</v>
      </c>
      <c r="I6" s="1054">
        <v>2780</v>
      </c>
      <c r="J6" s="1054">
        <f>5990-250-853</f>
        <v>4887</v>
      </c>
      <c r="K6" s="1054">
        <v>250</v>
      </c>
      <c r="L6" s="1054">
        <f>870</f>
        <v>870</v>
      </c>
      <c r="M6" s="1054">
        <v>853</v>
      </c>
      <c r="N6" s="1055">
        <f t="shared" si="1"/>
        <v>11792</v>
      </c>
      <c r="O6" s="1057">
        <v>11792</v>
      </c>
    </row>
    <row r="7" spans="1:17" ht="30" customHeight="1" x14ac:dyDescent="0.2">
      <c r="A7" s="1058" t="s">
        <v>98</v>
      </c>
      <c r="B7" s="885">
        <v>864</v>
      </c>
      <c r="C7" s="885"/>
      <c r="D7" s="885">
        <v>870</v>
      </c>
      <c r="E7" s="885">
        <v>0</v>
      </c>
      <c r="F7" s="885">
        <v>451</v>
      </c>
      <c r="G7" s="1053">
        <f t="shared" si="0"/>
        <v>419</v>
      </c>
      <c r="H7" s="1054"/>
      <c r="I7" s="1054"/>
      <c r="J7" s="1054">
        <v>419</v>
      </c>
      <c r="K7" s="1054"/>
      <c r="L7" s="1054"/>
      <c r="M7" s="1054"/>
      <c r="N7" s="1055">
        <f t="shared" si="1"/>
        <v>0</v>
      </c>
      <c r="O7" s="1057"/>
    </row>
    <row r="8" spans="1:17" ht="30" customHeight="1" x14ac:dyDescent="0.2">
      <c r="A8" s="1058" t="s">
        <v>197</v>
      </c>
      <c r="B8" s="885">
        <v>23097</v>
      </c>
      <c r="C8" s="885"/>
      <c r="D8" s="885">
        <v>26033</v>
      </c>
      <c r="E8" s="885">
        <v>0</v>
      </c>
      <c r="F8" s="885">
        <v>3048</v>
      </c>
      <c r="G8" s="1053">
        <f t="shared" si="0"/>
        <v>22985</v>
      </c>
      <c r="H8" s="1054">
        <v>3393</v>
      </c>
      <c r="I8" s="1054">
        <v>1157</v>
      </c>
      <c r="J8" s="1054"/>
      <c r="K8" s="1054">
        <v>293</v>
      </c>
      <c r="L8" s="1054">
        <v>14764</v>
      </c>
      <c r="M8" s="1054">
        <f>600+950+1357+450</f>
        <v>3357</v>
      </c>
      <c r="N8" s="1055">
        <f t="shared" si="1"/>
        <v>21</v>
      </c>
      <c r="O8" s="1057">
        <v>21</v>
      </c>
    </row>
    <row r="9" spans="1:17" ht="30" customHeight="1" x14ac:dyDescent="0.2">
      <c r="A9" s="893" t="s">
        <v>397</v>
      </c>
      <c r="B9" s="885">
        <v>5588</v>
      </c>
      <c r="C9" s="885"/>
      <c r="D9" s="885">
        <v>5910</v>
      </c>
      <c r="E9" s="885">
        <v>0</v>
      </c>
      <c r="F9" s="885">
        <v>4139</v>
      </c>
      <c r="G9" s="1053">
        <f t="shared" si="0"/>
        <v>1771</v>
      </c>
      <c r="H9" s="1054">
        <v>1411</v>
      </c>
      <c r="I9" s="1054">
        <f>348-129</f>
        <v>219</v>
      </c>
      <c r="J9" s="1054">
        <v>129</v>
      </c>
      <c r="K9" s="1054"/>
      <c r="L9" s="1054"/>
      <c r="M9" s="1054"/>
      <c r="N9" s="1055">
        <f t="shared" si="1"/>
        <v>12</v>
      </c>
      <c r="O9" s="1057">
        <v>12</v>
      </c>
    </row>
    <row r="10" spans="1:17" ht="30" customHeight="1" x14ac:dyDescent="0.2">
      <c r="A10" s="882" t="s">
        <v>70</v>
      </c>
      <c r="B10" s="885">
        <v>159643</v>
      </c>
      <c r="C10" s="885"/>
      <c r="D10" s="885">
        <v>159951</v>
      </c>
      <c r="E10" s="885">
        <v>0</v>
      </c>
      <c r="F10" s="885">
        <v>69211</v>
      </c>
      <c r="G10" s="1053">
        <f t="shared" si="0"/>
        <v>90740</v>
      </c>
      <c r="H10" s="1054">
        <f>23296-1750-6181</f>
        <v>15365</v>
      </c>
      <c r="I10" s="1054">
        <f>3611-271-958</f>
        <v>2382</v>
      </c>
      <c r="J10" s="1054">
        <f>1769+1750+271</f>
        <v>3790</v>
      </c>
      <c r="K10" s="1054">
        <f>6181+958</f>
        <v>7139</v>
      </c>
      <c r="L10" s="1054">
        <v>36764</v>
      </c>
      <c r="M10" s="1054"/>
      <c r="N10" s="1059">
        <f t="shared" si="1"/>
        <v>25300</v>
      </c>
      <c r="O10" s="1060"/>
      <c r="P10" s="13"/>
    </row>
    <row r="11" spans="1:17" ht="30" customHeight="1" thickBot="1" x14ac:dyDescent="0.25">
      <c r="A11" s="1061" t="s">
        <v>722</v>
      </c>
      <c r="B11" s="1062">
        <v>1414515</v>
      </c>
      <c r="C11" s="1062"/>
      <c r="D11" s="1062">
        <v>1380898</v>
      </c>
      <c r="E11" s="1062"/>
      <c r="F11" s="1062"/>
      <c r="G11" s="1063">
        <f t="shared" si="0"/>
        <v>1380898</v>
      </c>
      <c r="H11" s="1062"/>
      <c r="I11" s="1062">
        <v>834</v>
      </c>
      <c r="J11" s="1062">
        <f>182+32+12497+1207+191+5334+178+546+114+2900+3500+11000+3656+64477</f>
        <v>105814</v>
      </c>
      <c r="K11" s="1062"/>
      <c r="L11" s="1062">
        <f>291349-834-3656-37681-64477</f>
        <v>184701</v>
      </c>
      <c r="M11" s="1062"/>
      <c r="N11" s="1059">
        <f t="shared" si="1"/>
        <v>1089549</v>
      </c>
      <c r="O11" s="1064"/>
      <c r="P11" s="13"/>
    </row>
    <row r="12" spans="1:17" ht="34.9" customHeight="1" thickBot="1" x14ac:dyDescent="0.25">
      <c r="A12" s="1065" t="s">
        <v>63</v>
      </c>
      <c r="B12" s="1066">
        <f>SUM(B3:B11)</f>
        <v>1782581</v>
      </c>
      <c r="C12" s="1066">
        <f>SUM(C3:C11)</f>
        <v>0</v>
      </c>
      <c r="D12" s="1066">
        <f>SUM(D3:D11)</f>
        <v>1747752</v>
      </c>
      <c r="E12" s="1066">
        <f>SUM(E3:E11)</f>
        <v>0</v>
      </c>
      <c r="F12" s="1066">
        <f>SUM(F3:F11)</f>
        <v>156894</v>
      </c>
      <c r="G12" s="1067">
        <f>SUM(D12:E12)-F12</f>
        <v>1590858</v>
      </c>
      <c r="H12" s="1066">
        <f t="shared" ref="H12:O12" si="2">SUM(H3:H11)</f>
        <v>72043</v>
      </c>
      <c r="I12" s="1066">
        <f t="shared" si="2"/>
        <v>12648</v>
      </c>
      <c r="J12" s="1066">
        <f t="shared" si="2"/>
        <v>126090</v>
      </c>
      <c r="K12" s="1066">
        <f t="shared" si="2"/>
        <v>7682</v>
      </c>
      <c r="L12" s="1066">
        <f t="shared" si="2"/>
        <v>241510</v>
      </c>
      <c r="M12" s="1066">
        <f t="shared" si="2"/>
        <v>4210</v>
      </c>
      <c r="N12" s="1068">
        <f t="shared" si="2"/>
        <v>1126675</v>
      </c>
      <c r="O12" s="1069">
        <f t="shared" si="2"/>
        <v>11826</v>
      </c>
    </row>
    <row r="13" spans="1:17" ht="12" customHeight="1" thickTop="1" thickBot="1" x14ac:dyDescent="0.25">
      <c r="A13" s="1070"/>
      <c r="B13" s="1071"/>
      <c r="C13" s="1071"/>
      <c r="D13" s="1071"/>
      <c r="E13" s="1071"/>
      <c r="F13" s="1071"/>
      <c r="G13" s="1072"/>
      <c r="H13" s="1071"/>
      <c r="I13" s="1071"/>
      <c r="J13" s="1071"/>
      <c r="K13" s="1071"/>
      <c r="L13" s="1071"/>
      <c r="M13" s="1071"/>
      <c r="N13" s="1071"/>
      <c r="O13" s="1071"/>
    </row>
    <row r="14" spans="1:17" ht="27.75" customHeight="1" thickTop="1" thickBot="1" x14ac:dyDescent="0.25">
      <c r="A14" s="1073" t="s">
        <v>791</v>
      </c>
      <c r="B14" s="1074">
        <v>13647</v>
      </c>
      <c r="C14" s="1075"/>
      <c r="D14" s="1076">
        <v>13711</v>
      </c>
      <c r="E14" s="1075"/>
      <c r="F14" s="1076">
        <v>10227</v>
      </c>
      <c r="G14" s="1077">
        <f>D14-F14</f>
        <v>3484</v>
      </c>
      <c r="H14" s="1074"/>
      <c r="I14" s="1076"/>
      <c r="J14" s="1076">
        <v>3045</v>
      </c>
      <c r="K14" s="1078"/>
      <c r="L14" s="1078"/>
      <c r="M14" s="1078"/>
      <c r="N14" s="1079">
        <f>G14-H14-I14-J14</f>
        <v>439</v>
      </c>
      <c r="O14" s="1080"/>
      <c r="P14" s="13"/>
    </row>
    <row r="15" spans="1:17" ht="13.5" thickTop="1" x14ac:dyDescent="0.2">
      <c r="F15" s="13"/>
      <c r="K15" s="79"/>
      <c r="L15" s="79"/>
      <c r="M15" s="79"/>
    </row>
  </sheetData>
  <printOptions horizontalCentered="1"/>
  <pageMargins left="0.70866141732283472" right="0.70866141732283472" top="1.5354330708661419" bottom="0.74803149606299213" header="0.70866141732283472" footer="0.31496062992125984"/>
  <pageSetup paperSize="8" scale="81" orientation="landscape" r:id="rId1"/>
  <headerFooter>
    <oddHeader>&amp;C&amp;"Times New Roman,Félkövér"&amp;14Pénzmaradvány kimutatás&amp;"Times New Roman,Normál"&amp;10
&amp;12/ezer Ft/&amp;R&amp;"Times New Roman,Normál"&amp;12 21.sz.melléklet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pane xSplit="1" ySplit="1" topLeftCell="B17" activePane="bottomRight" state="frozen"/>
      <selection activeCell="Q6" sqref="Q6"/>
      <selection pane="topRight" activeCell="Q6" sqref="Q6"/>
      <selection pane="bottomLeft" activeCell="Q6" sqref="Q6"/>
      <selection pane="bottomRight" activeCell="K18" sqref="K18"/>
    </sheetView>
  </sheetViews>
  <sheetFormatPr defaultColWidth="9.140625" defaultRowHeight="15.75" x14ac:dyDescent="0.25"/>
  <cols>
    <col min="1" max="1" width="59.85546875" style="1115" customWidth="1"/>
    <col min="2" max="2" width="16.140625" style="1115" customWidth="1"/>
    <col min="3" max="3" width="15.7109375" style="1088" customWidth="1"/>
    <col min="4" max="4" width="16.28515625" style="1088" customWidth="1"/>
    <col min="5" max="5" width="15.7109375" style="1088" customWidth="1"/>
    <col min="6" max="6" width="16.42578125" style="1088" customWidth="1"/>
    <col min="7" max="7" width="16.28515625" style="1116" customWidth="1"/>
    <col min="8" max="8" width="16.42578125" style="1088" customWidth="1"/>
    <col min="9" max="9" width="15.7109375" style="1088" customWidth="1"/>
    <col min="10" max="10" width="16.28515625" style="1088" customWidth="1"/>
    <col min="11" max="11" width="16.5703125" style="1088" customWidth="1"/>
    <col min="12" max="12" width="15.5703125" style="1117" customWidth="1"/>
    <col min="13" max="18" width="15.7109375" style="1088" customWidth="1"/>
    <col min="19" max="16384" width="9.140625" style="1088"/>
  </cols>
  <sheetData>
    <row r="1" spans="1:12" ht="64.5" thickTop="1" thickBot="1" x14ac:dyDescent="0.3">
      <c r="A1" s="1082" t="s">
        <v>66</v>
      </c>
      <c r="B1" s="1083" t="s">
        <v>796</v>
      </c>
      <c r="C1" s="1084" t="s">
        <v>30</v>
      </c>
      <c r="D1" s="1085" t="s">
        <v>363</v>
      </c>
      <c r="E1" s="1085" t="s">
        <v>792</v>
      </c>
      <c r="F1" s="1085" t="s">
        <v>793</v>
      </c>
      <c r="G1" s="1085" t="s">
        <v>399</v>
      </c>
      <c r="H1" s="1085" t="s">
        <v>397</v>
      </c>
      <c r="I1" s="1086" t="s">
        <v>197</v>
      </c>
      <c r="J1" s="1085" t="s">
        <v>794</v>
      </c>
      <c r="K1" s="1196" t="s">
        <v>795</v>
      </c>
      <c r="L1" s="1087" t="s">
        <v>834</v>
      </c>
    </row>
    <row r="2" spans="1:12" ht="18.75" x14ac:dyDescent="0.3">
      <c r="A2" s="1089" t="s">
        <v>797</v>
      </c>
      <c r="B2" s="1090">
        <v>2297938</v>
      </c>
      <c r="C2" s="1091"/>
      <c r="D2" s="1092"/>
      <c r="E2" s="1092"/>
      <c r="F2" s="1092"/>
      <c r="G2" s="1093"/>
      <c r="H2" s="1092"/>
      <c r="I2" s="1092"/>
      <c r="J2" s="1092">
        <v>835</v>
      </c>
      <c r="K2" s="1094">
        <v>1367686</v>
      </c>
      <c r="L2" s="1095">
        <f t="shared" ref="L2:L26" si="0">SUM(C2:K2)</f>
        <v>1368521</v>
      </c>
    </row>
    <row r="3" spans="1:12" ht="18.75" x14ac:dyDescent="0.3">
      <c r="A3" s="1096" t="s">
        <v>798</v>
      </c>
      <c r="B3" s="1097">
        <v>586227</v>
      </c>
      <c r="C3" s="1098">
        <v>38623</v>
      </c>
      <c r="D3" s="1099">
        <v>1</v>
      </c>
      <c r="E3" s="1099">
        <v>12252</v>
      </c>
      <c r="F3" s="1099">
        <v>1238</v>
      </c>
      <c r="G3" s="1100">
        <v>136896</v>
      </c>
      <c r="H3" s="1099">
        <v>1741</v>
      </c>
      <c r="I3" s="1099">
        <v>1466</v>
      </c>
      <c r="J3" s="1099">
        <v>33713</v>
      </c>
      <c r="K3" s="1101">
        <v>33363</v>
      </c>
      <c r="L3" s="1102">
        <f t="shared" si="0"/>
        <v>259293</v>
      </c>
    </row>
    <row r="4" spans="1:12" ht="18.75" x14ac:dyDescent="0.3">
      <c r="A4" s="1096" t="s">
        <v>799</v>
      </c>
      <c r="B4" s="1097">
        <v>76641</v>
      </c>
      <c r="C4" s="1098"/>
      <c r="D4" s="1099"/>
      <c r="E4" s="1099"/>
      <c r="F4" s="1099"/>
      <c r="G4" s="1100"/>
      <c r="H4" s="1099"/>
      <c r="I4" s="1099"/>
      <c r="J4" s="1099"/>
      <c r="K4" s="1101">
        <v>60603</v>
      </c>
      <c r="L4" s="1102">
        <f t="shared" si="0"/>
        <v>60603</v>
      </c>
    </row>
    <row r="5" spans="1:12" ht="18.75" x14ac:dyDescent="0.3">
      <c r="A5" s="1103" t="s">
        <v>800</v>
      </c>
      <c r="B5" s="1097">
        <v>2960806</v>
      </c>
      <c r="C5" s="1104">
        <f>SUM(C2:C4)</f>
        <v>38623</v>
      </c>
      <c r="D5" s="1105">
        <f t="shared" ref="D5:K5" si="1">SUM(D2:D4)</f>
        <v>1</v>
      </c>
      <c r="E5" s="1105">
        <f t="shared" si="1"/>
        <v>12252</v>
      </c>
      <c r="F5" s="1105">
        <f t="shared" si="1"/>
        <v>1238</v>
      </c>
      <c r="G5" s="1106">
        <f t="shared" si="1"/>
        <v>136896</v>
      </c>
      <c r="H5" s="1105">
        <f t="shared" si="1"/>
        <v>1741</v>
      </c>
      <c r="I5" s="1105">
        <f t="shared" si="1"/>
        <v>1466</v>
      </c>
      <c r="J5" s="1105">
        <f t="shared" si="1"/>
        <v>34548</v>
      </c>
      <c r="K5" s="1107">
        <f t="shared" si="1"/>
        <v>1461652</v>
      </c>
      <c r="L5" s="1102">
        <f t="shared" si="0"/>
        <v>1688417</v>
      </c>
    </row>
    <row r="6" spans="1:12" ht="18.75" x14ac:dyDescent="0.3">
      <c r="A6" s="1096" t="s">
        <v>801</v>
      </c>
      <c r="B6" s="1097">
        <v>0</v>
      </c>
      <c r="C6" s="1098"/>
      <c r="D6" s="1099"/>
      <c r="E6" s="1099"/>
      <c r="F6" s="1099"/>
      <c r="G6" s="1100"/>
      <c r="H6" s="1099"/>
      <c r="I6" s="1099"/>
      <c r="J6" s="1099"/>
      <c r="K6" s="1101"/>
      <c r="L6" s="1102">
        <f t="shared" si="0"/>
        <v>0</v>
      </c>
    </row>
    <row r="7" spans="1:12" ht="18.75" x14ac:dyDescent="0.3">
      <c r="A7" s="1096" t="s">
        <v>802</v>
      </c>
      <c r="B7" s="1097">
        <v>1534</v>
      </c>
      <c r="C7" s="1098"/>
      <c r="D7" s="1099"/>
      <c r="E7" s="1099"/>
      <c r="F7" s="1099"/>
      <c r="G7" s="1100">
        <v>56</v>
      </c>
      <c r="H7" s="1099"/>
      <c r="I7" s="1099"/>
      <c r="J7" s="1099"/>
      <c r="K7" s="1101"/>
      <c r="L7" s="1102">
        <f t="shared" si="0"/>
        <v>56</v>
      </c>
    </row>
    <row r="8" spans="1:12" ht="18.75" x14ac:dyDescent="0.3">
      <c r="A8" s="1103" t="s">
        <v>803</v>
      </c>
      <c r="B8" s="1097">
        <v>1534</v>
      </c>
      <c r="C8" s="1104">
        <f>SUM(C6:C7)</f>
        <v>0</v>
      </c>
      <c r="D8" s="1105">
        <f t="shared" ref="D8:K8" si="2">SUM(D6:D7)</f>
        <v>0</v>
      </c>
      <c r="E8" s="1105">
        <f t="shared" si="2"/>
        <v>0</v>
      </c>
      <c r="F8" s="1105">
        <f t="shared" si="2"/>
        <v>0</v>
      </c>
      <c r="G8" s="1106">
        <f t="shared" si="2"/>
        <v>56</v>
      </c>
      <c r="H8" s="1105">
        <f t="shared" si="2"/>
        <v>0</v>
      </c>
      <c r="I8" s="1105">
        <f t="shared" si="2"/>
        <v>0</v>
      </c>
      <c r="J8" s="1105">
        <f t="shared" si="2"/>
        <v>0</v>
      </c>
      <c r="K8" s="1107">
        <f t="shared" si="2"/>
        <v>0</v>
      </c>
      <c r="L8" s="1102">
        <f t="shared" si="0"/>
        <v>56</v>
      </c>
    </row>
    <row r="9" spans="1:12" ht="18.75" x14ac:dyDescent="0.3">
      <c r="A9" s="1096" t="s">
        <v>804</v>
      </c>
      <c r="B9" s="1097">
        <v>3974712</v>
      </c>
      <c r="C9" s="1098">
        <v>90910</v>
      </c>
      <c r="D9" s="1099">
        <v>605425</v>
      </c>
      <c r="E9" s="1099">
        <v>253249</v>
      </c>
      <c r="F9" s="1099">
        <v>21757</v>
      </c>
      <c r="G9" s="1100">
        <v>454086</v>
      </c>
      <c r="H9" s="1099">
        <v>149450</v>
      </c>
      <c r="I9" s="1099">
        <v>62139</v>
      </c>
      <c r="J9" s="1099">
        <v>473473</v>
      </c>
      <c r="K9" s="1101">
        <v>1713421</v>
      </c>
      <c r="L9" s="1102">
        <f t="shared" si="0"/>
        <v>3823910</v>
      </c>
    </row>
    <row r="10" spans="1:12" ht="18.75" x14ac:dyDescent="0.3">
      <c r="A10" s="1096" t="s">
        <v>805</v>
      </c>
      <c r="B10" s="1097">
        <v>630836</v>
      </c>
      <c r="C10" s="1098">
        <v>512233</v>
      </c>
      <c r="D10" s="1099">
        <v>52</v>
      </c>
      <c r="E10" s="1099">
        <v>2276</v>
      </c>
      <c r="F10" s="1099">
        <v>3120</v>
      </c>
      <c r="G10" s="1100">
        <v>1156</v>
      </c>
      <c r="H10" s="1099">
        <v>1970</v>
      </c>
      <c r="I10" s="1099">
        <v>15586</v>
      </c>
      <c r="J10" s="1099">
        <v>3077</v>
      </c>
      <c r="K10" s="1101">
        <v>99759</v>
      </c>
      <c r="L10" s="1102">
        <f t="shared" si="0"/>
        <v>639229</v>
      </c>
    </row>
    <row r="11" spans="1:12" ht="18.75" x14ac:dyDescent="0.3">
      <c r="A11" s="1096" t="s">
        <v>837</v>
      </c>
      <c r="B11" s="1097">
        <v>147080</v>
      </c>
      <c r="C11" s="1098"/>
      <c r="D11" s="1099">
        <v>560</v>
      </c>
      <c r="E11" s="1099"/>
      <c r="F11" s="1099"/>
      <c r="G11" s="1100"/>
      <c r="H11" s="1099"/>
      <c r="I11" s="1099"/>
      <c r="J11" s="1099">
        <v>2099</v>
      </c>
      <c r="K11" s="1101">
        <v>100117</v>
      </c>
      <c r="L11" s="1102">
        <f t="shared" si="0"/>
        <v>102776</v>
      </c>
    </row>
    <row r="12" spans="1:12" ht="18.75" x14ac:dyDescent="0.3">
      <c r="A12" s="1096" t="s">
        <v>806</v>
      </c>
      <c r="B12" s="1097">
        <v>168178</v>
      </c>
      <c r="C12" s="1098">
        <v>912</v>
      </c>
      <c r="D12" s="1099"/>
      <c r="E12" s="1099">
        <v>283</v>
      </c>
      <c r="F12" s="1099">
        <v>5</v>
      </c>
      <c r="G12" s="1100">
        <v>3878</v>
      </c>
      <c r="H12" s="1099">
        <v>3</v>
      </c>
      <c r="I12" s="1099">
        <v>193</v>
      </c>
      <c r="J12" s="1099">
        <v>1103</v>
      </c>
      <c r="K12" s="1101">
        <v>281475</v>
      </c>
      <c r="L12" s="1102">
        <f t="shared" si="0"/>
        <v>287852</v>
      </c>
    </row>
    <row r="13" spans="1:12" ht="18.75" x14ac:dyDescent="0.3">
      <c r="A13" s="1103" t="s">
        <v>807</v>
      </c>
      <c r="B13" s="1097">
        <v>4920806</v>
      </c>
      <c r="C13" s="1104">
        <f>SUM(C9:C12)</f>
        <v>604055</v>
      </c>
      <c r="D13" s="1105">
        <f t="shared" ref="D13:K13" si="3">SUM(D9:D12)</f>
        <v>606037</v>
      </c>
      <c r="E13" s="1105">
        <f t="shared" si="3"/>
        <v>255808</v>
      </c>
      <c r="F13" s="1105">
        <f t="shared" si="3"/>
        <v>24882</v>
      </c>
      <c r="G13" s="1106">
        <f t="shared" si="3"/>
        <v>459120</v>
      </c>
      <c r="H13" s="1105">
        <f t="shared" si="3"/>
        <v>151423</v>
      </c>
      <c r="I13" s="1105">
        <f t="shared" si="3"/>
        <v>77918</v>
      </c>
      <c r="J13" s="1105">
        <f t="shared" si="3"/>
        <v>479752</v>
      </c>
      <c r="K13" s="1107">
        <f t="shared" si="3"/>
        <v>2194772</v>
      </c>
      <c r="L13" s="1102">
        <f t="shared" si="0"/>
        <v>4853767</v>
      </c>
    </row>
    <row r="14" spans="1:12" ht="18.75" x14ac:dyDescent="0.3">
      <c r="A14" s="1096" t="s">
        <v>808</v>
      </c>
      <c r="B14" s="1097">
        <v>315237</v>
      </c>
      <c r="C14" s="1098">
        <v>31333</v>
      </c>
      <c r="D14" s="1099">
        <v>9976</v>
      </c>
      <c r="E14" s="1099">
        <v>4751</v>
      </c>
      <c r="F14" s="1099">
        <v>439</v>
      </c>
      <c r="G14" s="1100">
        <v>193969</v>
      </c>
      <c r="H14" s="1099">
        <v>8177</v>
      </c>
      <c r="I14" s="1099">
        <v>1555</v>
      </c>
      <c r="J14" s="1099">
        <v>4539</v>
      </c>
      <c r="K14" s="1101">
        <v>14348</v>
      </c>
      <c r="L14" s="1102">
        <f t="shared" si="0"/>
        <v>269087</v>
      </c>
    </row>
    <row r="15" spans="1:12" ht="18.75" x14ac:dyDescent="0.3">
      <c r="A15" s="1096" t="s">
        <v>809</v>
      </c>
      <c r="B15" s="1097">
        <v>1056449</v>
      </c>
      <c r="C15" s="1098">
        <v>124484</v>
      </c>
      <c r="D15" s="1099">
        <v>26050</v>
      </c>
      <c r="E15" s="1099">
        <v>100970</v>
      </c>
      <c r="F15" s="1099">
        <v>7096</v>
      </c>
      <c r="G15" s="1100">
        <v>45128</v>
      </c>
      <c r="H15" s="1099">
        <v>5646</v>
      </c>
      <c r="I15" s="1099">
        <v>14936</v>
      </c>
      <c r="J15" s="1099">
        <v>40053</v>
      </c>
      <c r="K15" s="1101">
        <v>645771</v>
      </c>
      <c r="L15" s="1102">
        <f t="shared" si="0"/>
        <v>1010134</v>
      </c>
    </row>
    <row r="16" spans="1:12" ht="18.75" x14ac:dyDescent="0.3">
      <c r="A16" s="1096" t="s">
        <v>810</v>
      </c>
      <c r="B16" s="1097">
        <v>0</v>
      </c>
      <c r="C16" s="1098"/>
      <c r="D16" s="1099"/>
      <c r="E16" s="1099"/>
      <c r="F16" s="1099"/>
      <c r="G16" s="1100"/>
      <c r="H16" s="1099"/>
      <c r="I16" s="1099"/>
      <c r="J16" s="1099"/>
      <c r="K16" s="1101"/>
      <c r="L16" s="1102">
        <f t="shared" si="0"/>
        <v>0</v>
      </c>
    </row>
    <row r="17" spans="1:12" ht="18.75" x14ac:dyDescent="0.3">
      <c r="A17" s="1096" t="s">
        <v>811</v>
      </c>
      <c r="B17" s="1097">
        <v>20083</v>
      </c>
      <c r="C17" s="1098"/>
      <c r="D17" s="1099"/>
      <c r="E17" s="1099"/>
      <c r="F17" s="1099"/>
      <c r="G17" s="1100">
        <v>1723</v>
      </c>
      <c r="H17" s="1099"/>
      <c r="I17" s="1099"/>
      <c r="J17" s="1099">
        <v>5899</v>
      </c>
      <c r="K17" s="1101">
        <v>4237</v>
      </c>
      <c r="L17" s="1102">
        <f t="shared" si="0"/>
        <v>11859</v>
      </c>
    </row>
    <row r="18" spans="1:12" ht="18.75" x14ac:dyDescent="0.3">
      <c r="A18" s="1103" t="s">
        <v>812</v>
      </c>
      <c r="B18" s="1097">
        <v>1391769</v>
      </c>
      <c r="C18" s="1104">
        <f>SUM(C14:C17)</f>
        <v>155817</v>
      </c>
      <c r="D18" s="1105">
        <f t="shared" ref="D18:K18" si="4">SUM(D14:D17)</f>
        <v>36026</v>
      </c>
      <c r="E18" s="1105">
        <f t="shared" si="4"/>
        <v>105721</v>
      </c>
      <c r="F18" s="1105">
        <f t="shared" si="4"/>
        <v>7535</v>
      </c>
      <c r="G18" s="1106">
        <f t="shared" si="4"/>
        <v>240820</v>
      </c>
      <c r="H18" s="1105">
        <f t="shared" si="4"/>
        <v>13823</v>
      </c>
      <c r="I18" s="1105">
        <f t="shared" si="4"/>
        <v>16491</v>
      </c>
      <c r="J18" s="1105">
        <f t="shared" si="4"/>
        <v>50491</v>
      </c>
      <c r="K18" s="1107">
        <f t="shared" si="4"/>
        <v>664356</v>
      </c>
      <c r="L18" s="1102">
        <f t="shared" si="0"/>
        <v>1291080</v>
      </c>
    </row>
    <row r="19" spans="1:12" ht="18.75" x14ac:dyDescent="0.3">
      <c r="A19" s="1096" t="s">
        <v>813</v>
      </c>
      <c r="B19" s="1097">
        <v>1481154</v>
      </c>
      <c r="C19" s="1098">
        <v>298185</v>
      </c>
      <c r="D19" s="1099">
        <v>417180</v>
      </c>
      <c r="E19" s="1099">
        <v>48445</v>
      </c>
      <c r="F19" s="1099">
        <v>4332</v>
      </c>
      <c r="G19" s="1100">
        <v>219658</v>
      </c>
      <c r="H19" s="1099">
        <v>105891</v>
      </c>
      <c r="I19" s="1099">
        <v>30174</v>
      </c>
      <c r="J19" s="1099">
        <v>284976</v>
      </c>
      <c r="K19" s="1101">
        <v>122835</v>
      </c>
      <c r="L19" s="1102">
        <f t="shared" si="0"/>
        <v>1531676</v>
      </c>
    </row>
    <row r="20" spans="1:12" ht="18.75" x14ac:dyDescent="0.3">
      <c r="A20" s="1096" t="s">
        <v>814</v>
      </c>
      <c r="B20" s="1097">
        <v>264128</v>
      </c>
      <c r="C20" s="1098">
        <v>79908</v>
      </c>
      <c r="D20" s="1099">
        <v>39744</v>
      </c>
      <c r="E20" s="1099">
        <v>15320</v>
      </c>
      <c r="F20" s="1099">
        <v>9218</v>
      </c>
      <c r="G20" s="1100">
        <v>21959</v>
      </c>
      <c r="H20" s="1099">
        <v>8820</v>
      </c>
      <c r="I20" s="1099">
        <v>1985</v>
      </c>
      <c r="J20" s="1099">
        <v>36117</v>
      </c>
      <c r="K20" s="1101">
        <v>69735</v>
      </c>
      <c r="L20" s="1102">
        <f t="shared" si="0"/>
        <v>282806</v>
      </c>
    </row>
    <row r="21" spans="1:12" ht="18.75" x14ac:dyDescent="0.3">
      <c r="A21" s="1096" t="s">
        <v>815</v>
      </c>
      <c r="B21" s="1097">
        <v>341039</v>
      </c>
      <c r="C21" s="1098">
        <v>62669</v>
      </c>
      <c r="D21" s="1099">
        <v>83998</v>
      </c>
      <c r="E21" s="1099">
        <v>11307</v>
      </c>
      <c r="F21" s="1099">
        <v>2302</v>
      </c>
      <c r="G21" s="1100">
        <v>45202</v>
      </c>
      <c r="H21" s="1099">
        <v>21471</v>
      </c>
      <c r="I21" s="1099">
        <v>3902</v>
      </c>
      <c r="J21" s="1099">
        <v>57785</v>
      </c>
      <c r="K21" s="1101">
        <v>25392</v>
      </c>
      <c r="L21" s="1102">
        <f t="shared" si="0"/>
        <v>314028</v>
      </c>
    </row>
    <row r="22" spans="1:12" ht="18.75" x14ac:dyDescent="0.3">
      <c r="A22" s="1103" t="s">
        <v>816</v>
      </c>
      <c r="B22" s="1097">
        <v>2086321</v>
      </c>
      <c r="C22" s="1104">
        <f>SUM(C19:C21)</f>
        <v>440762</v>
      </c>
      <c r="D22" s="1105">
        <f t="shared" ref="D22:K22" si="5">SUM(D19:D21)</f>
        <v>540922</v>
      </c>
      <c r="E22" s="1105">
        <f t="shared" si="5"/>
        <v>75072</v>
      </c>
      <c r="F22" s="1105">
        <f t="shared" si="5"/>
        <v>15852</v>
      </c>
      <c r="G22" s="1106">
        <f t="shared" si="5"/>
        <v>286819</v>
      </c>
      <c r="H22" s="1105">
        <f t="shared" si="5"/>
        <v>136182</v>
      </c>
      <c r="I22" s="1105">
        <f t="shared" si="5"/>
        <v>36061</v>
      </c>
      <c r="J22" s="1105">
        <f t="shared" si="5"/>
        <v>378878</v>
      </c>
      <c r="K22" s="1107">
        <f t="shared" si="5"/>
        <v>217962</v>
      </c>
      <c r="L22" s="1102">
        <f t="shared" si="0"/>
        <v>2128510</v>
      </c>
    </row>
    <row r="23" spans="1:12" ht="18.75" x14ac:dyDescent="0.3">
      <c r="A23" s="1103" t="s">
        <v>817</v>
      </c>
      <c r="B23" s="1097">
        <v>686996</v>
      </c>
      <c r="C23" s="1104">
        <v>13247</v>
      </c>
      <c r="D23" s="1105">
        <v>8659</v>
      </c>
      <c r="E23" s="1105">
        <v>9962</v>
      </c>
      <c r="F23" s="1105">
        <v>5284</v>
      </c>
      <c r="G23" s="1106">
        <v>9637</v>
      </c>
      <c r="H23" s="1105">
        <v>1936</v>
      </c>
      <c r="I23" s="1105">
        <v>4660</v>
      </c>
      <c r="J23" s="1105">
        <v>17526</v>
      </c>
      <c r="K23" s="1107">
        <v>641277</v>
      </c>
      <c r="L23" s="1102">
        <f t="shared" si="0"/>
        <v>712188</v>
      </c>
    </row>
    <row r="24" spans="1:12" ht="18.75" x14ac:dyDescent="0.3">
      <c r="A24" s="1103" t="s">
        <v>818</v>
      </c>
      <c r="B24" s="1097">
        <v>3298885</v>
      </c>
      <c r="C24" s="1104">
        <v>37460</v>
      </c>
      <c r="D24" s="1105">
        <v>21478</v>
      </c>
      <c r="E24" s="1105">
        <v>25849</v>
      </c>
      <c r="F24" s="1105">
        <v>3304</v>
      </c>
      <c r="G24" s="1106">
        <v>44803</v>
      </c>
      <c r="H24" s="1105">
        <v>5746</v>
      </c>
      <c r="I24" s="1105">
        <v>4542</v>
      </c>
      <c r="J24" s="1105">
        <v>58028</v>
      </c>
      <c r="K24" s="1107">
        <v>2975464</v>
      </c>
      <c r="L24" s="1102">
        <f t="shared" si="0"/>
        <v>3176674</v>
      </c>
    </row>
    <row r="25" spans="1:12" ht="18.75" x14ac:dyDescent="0.3">
      <c r="A25" s="1103" t="s">
        <v>819</v>
      </c>
      <c r="B25" s="1097">
        <v>419175</v>
      </c>
      <c r="C25" s="1104">
        <f>C5+C8+C13-C18-C22-C23-C24</f>
        <v>-4608</v>
      </c>
      <c r="D25" s="1105">
        <f t="shared" ref="D25:K25" si="6">D5+D8+D13-D18-D22-D23-D24</f>
        <v>-1047</v>
      </c>
      <c r="E25" s="1105">
        <f t="shared" si="6"/>
        <v>51456</v>
      </c>
      <c r="F25" s="1105">
        <f t="shared" si="6"/>
        <v>-5855</v>
      </c>
      <c r="G25" s="1106">
        <f t="shared" si="6"/>
        <v>13993</v>
      </c>
      <c r="H25" s="1105">
        <f t="shared" si="6"/>
        <v>-4523</v>
      </c>
      <c r="I25" s="1105">
        <f t="shared" si="6"/>
        <v>17630</v>
      </c>
      <c r="J25" s="1105">
        <f t="shared" si="6"/>
        <v>9377</v>
      </c>
      <c r="K25" s="1107">
        <f t="shared" si="6"/>
        <v>-842635</v>
      </c>
      <c r="L25" s="1102">
        <f t="shared" si="0"/>
        <v>-766212</v>
      </c>
    </row>
    <row r="26" spans="1:12" ht="18.75" x14ac:dyDescent="0.3">
      <c r="A26" s="1096" t="s">
        <v>820</v>
      </c>
      <c r="B26" s="1097">
        <v>0</v>
      </c>
      <c r="C26" s="1098"/>
      <c r="D26" s="1099"/>
      <c r="E26" s="1099"/>
      <c r="F26" s="1099"/>
      <c r="G26" s="1100"/>
      <c r="H26" s="1099"/>
      <c r="I26" s="1099"/>
      <c r="J26" s="1099"/>
      <c r="K26" s="1101"/>
      <c r="L26" s="1102">
        <f t="shared" si="0"/>
        <v>0</v>
      </c>
    </row>
    <row r="27" spans="1:12" ht="18.75" x14ac:dyDescent="0.3">
      <c r="A27" s="1096" t="s">
        <v>821</v>
      </c>
      <c r="B27" s="1097"/>
      <c r="C27" s="1098"/>
      <c r="D27" s="1099"/>
      <c r="E27" s="1099"/>
      <c r="F27" s="1099"/>
      <c r="G27" s="1100"/>
      <c r="H27" s="1099"/>
      <c r="I27" s="1099"/>
      <c r="J27" s="1099"/>
      <c r="K27" s="1101"/>
      <c r="L27" s="1102"/>
    </row>
    <row r="28" spans="1:12" ht="18.75" x14ac:dyDescent="0.3">
      <c r="A28" s="1096" t="s">
        <v>822</v>
      </c>
      <c r="B28" s="1097"/>
      <c r="C28" s="1098"/>
      <c r="D28" s="1099"/>
      <c r="E28" s="1099"/>
      <c r="F28" s="1099"/>
      <c r="G28" s="1100"/>
      <c r="H28" s="1099"/>
      <c r="I28" s="1099"/>
      <c r="J28" s="1099"/>
      <c r="K28" s="1101"/>
      <c r="L28" s="1102"/>
    </row>
    <row r="29" spans="1:12" ht="18.75" x14ac:dyDescent="0.3">
      <c r="A29" s="1096" t="s">
        <v>823</v>
      </c>
      <c r="B29" s="1097">
        <v>41</v>
      </c>
      <c r="C29" s="1098"/>
      <c r="D29" s="1099"/>
      <c r="E29" s="1099"/>
      <c r="F29" s="1099"/>
      <c r="G29" s="1100"/>
      <c r="H29" s="1099"/>
      <c r="I29" s="1099"/>
      <c r="J29" s="1099"/>
      <c r="K29" s="1101">
        <v>37</v>
      </c>
      <c r="L29" s="1102">
        <f t="shared" ref="L29:L34" si="7">SUM(C29:K29)</f>
        <v>37</v>
      </c>
    </row>
    <row r="30" spans="1:12" ht="18.75" x14ac:dyDescent="0.3">
      <c r="A30" s="1096" t="s">
        <v>824</v>
      </c>
      <c r="B30" s="1097">
        <v>0</v>
      </c>
      <c r="C30" s="1098"/>
      <c r="D30" s="1099"/>
      <c r="E30" s="1099"/>
      <c r="F30" s="1099"/>
      <c r="G30" s="1100"/>
      <c r="H30" s="1099"/>
      <c r="I30" s="1099"/>
      <c r="J30" s="1099"/>
      <c r="K30" s="1101"/>
      <c r="L30" s="1102">
        <f t="shared" si="7"/>
        <v>0</v>
      </c>
    </row>
    <row r="31" spans="1:12" ht="27" x14ac:dyDescent="0.3">
      <c r="A31" s="1103" t="s">
        <v>825</v>
      </c>
      <c r="B31" s="1097">
        <v>41</v>
      </c>
      <c r="C31" s="1104">
        <f t="shared" ref="C31:K31" si="8">SUM(C26:C30)</f>
        <v>0</v>
      </c>
      <c r="D31" s="1105">
        <f t="shared" si="8"/>
        <v>0</v>
      </c>
      <c r="E31" s="1105">
        <f t="shared" si="8"/>
        <v>0</v>
      </c>
      <c r="F31" s="1105">
        <f t="shared" si="8"/>
        <v>0</v>
      </c>
      <c r="G31" s="1106">
        <f t="shared" si="8"/>
        <v>0</v>
      </c>
      <c r="H31" s="1105">
        <f t="shared" si="8"/>
        <v>0</v>
      </c>
      <c r="I31" s="1105">
        <f t="shared" si="8"/>
        <v>0</v>
      </c>
      <c r="J31" s="1105">
        <f t="shared" si="8"/>
        <v>0</v>
      </c>
      <c r="K31" s="1107">
        <f t="shared" si="8"/>
        <v>37</v>
      </c>
      <c r="L31" s="1102">
        <f t="shared" si="7"/>
        <v>37</v>
      </c>
    </row>
    <row r="32" spans="1:12" ht="18.75" x14ac:dyDescent="0.3">
      <c r="A32" s="1096" t="s">
        <v>826</v>
      </c>
      <c r="B32" s="1097">
        <v>0</v>
      </c>
      <c r="C32" s="1098">
        <v>0</v>
      </c>
      <c r="D32" s="1099"/>
      <c r="E32" s="1099"/>
      <c r="F32" s="1099"/>
      <c r="G32" s="1100"/>
      <c r="H32" s="1099"/>
      <c r="I32" s="1099"/>
      <c r="J32" s="1099"/>
      <c r="K32" s="1101"/>
      <c r="L32" s="1102">
        <f t="shared" si="7"/>
        <v>0</v>
      </c>
    </row>
    <row r="33" spans="1:12" ht="27" x14ac:dyDescent="0.3">
      <c r="A33" s="1096" t="s">
        <v>827</v>
      </c>
      <c r="B33" s="1097">
        <v>0</v>
      </c>
      <c r="C33" s="1098">
        <v>0</v>
      </c>
      <c r="D33" s="1099"/>
      <c r="E33" s="1099"/>
      <c r="F33" s="1099"/>
      <c r="G33" s="1100"/>
      <c r="H33" s="1099"/>
      <c r="I33" s="1099"/>
      <c r="J33" s="1099"/>
      <c r="K33" s="1101"/>
      <c r="L33" s="1102">
        <f t="shared" si="7"/>
        <v>0</v>
      </c>
    </row>
    <row r="34" spans="1:12" ht="18.75" x14ac:dyDescent="0.3">
      <c r="A34" s="1096" t="s">
        <v>828</v>
      </c>
      <c r="B34" s="1097">
        <v>0</v>
      </c>
      <c r="C34" s="1098">
        <v>0</v>
      </c>
      <c r="D34" s="1099"/>
      <c r="E34" s="1099"/>
      <c r="F34" s="1099"/>
      <c r="G34" s="1100"/>
      <c r="H34" s="1099"/>
      <c r="I34" s="1099"/>
      <c r="J34" s="1099"/>
      <c r="K34" s="1101"/>
      <c r="L34" s="1102">
        <f t="shared" si="7"/>
        <v>0</v>
      </c>
    </row>
    <row r="35" spans="1:12" ht="18.75" x14ac:dyDescent="0.3">
      <c r="A35" s="1096" t="s">
        <v>829</v>
      </c>
      <c r="B35" s="1097"/>
      <c r="C35" s="1098"/>
      <c r="D35" s="1099"/>
      <c r="E35" s="1099"/>
      <c r="F35" s="1099"/>
      <c r="G35" s="1100"/>
      <c r="H35" s="1099"/>
      <c r="I35" s="1099"/>
      <c r="J35" s="1099"/>
      <c r="K35" s="1101"/>
      <c r="L35" s="1102"/>
    </row>
    <row r="36" spans="1:12" ht="18.75" x14ac:dyDescent="0.3">
      <c r="A36" s="1096" t="s">
        <v>830</v>
      </c>
      <c r="B36" s="1097">
        <v>0</v>
      </c>
      <c r="C36" s="1098">
        <v>0</v>
      </c>
      <c r="D36" s="1099"/>
      <c r="E36" s="1099"/>
      <c r="F36" s="1099"/>
      <c r="G36" s="1100"/>
      <c r="H36" s="1099"/>
      <c r="I36" s="1099"/>
      <c r="J36" s="1099"/>
      <c r="K36" s="1101"/>
      <c r="L36" s="1102">
        <f>SUM(C36:K36)</f>
        <v>0</v>
      </c>
    </row>
    <row r="37" spans="1:12" ht="18.75" x14ac:dyDescent="0.3">
      <c r="A37" s="1103" t="s">
        <v>831</v>
      </c>
      <c r="B37" s="1097">
        <v>0</v>
      </c>
      <c r="C37" s="1104">
        <f>SUM(C32:C36)</f>
        <v>0</v>
      </c>
      <c r="D37" s="1105">
        <f t="shared" ref="D37:J37" si="9">SUM(D32:D36)</f>
        <v>0</v>
      </c>
      <c r="E37" s="1105">
        <f t="shared" si="9"/>
        <v>0</v>
      </c>
      <c r="F37" s="1105">
        <f t="shared" si="9"/>
        <v>0</v>
      </c>
      <c r="G37" s="1106">
        <f t="shared" si="9"/>
        <v>0</v>
      </c>
      <c r="H37" s="1105">
        <f t="shared" si="9"/>
        <v>0</v>
      </c>
      <c r="I37" s="1105">
        <f t="shared" si="9"/>
        <v>0</v>
      </c>
      <c r="J37" s="1105">
        <f t="shared" si="9"/>
        <v>0</v>
      </c>
      <c r="K37" s="1107">
        <f>SUM(K32:K36)</f>
        <v>0</v>
      </c>
      <c r="L37" s="1102">
        <f>SUM(C37:K37)</f>
        <v>0</v>
      </c>
    </row>
    <row r="38" spans="1:12" ht="18.75" x14ac:dyDescent="0.3">
      <c r="A38" s="1103" t="s">
        <v>832</v>
      </c>
      <c r="B38" s="1097">
        <v>41</v>
      </c>
      <c r="C38" s="1104">
        <f t="shared" ref="C38:K38" si="10">C31-C37</f>
        <v>0</v>
      </c>
      <c r="D38" s="1105">
        <f t="shared" si="10"/>
        <v>0</v>
      </c>
      <c r="E38" s="1105">
        <f t="shared" si="10"/>
        <v>0</v>
      </c>
      <c r="F38" s="1105">
        <f t="shared" si="10"/>
        <v>0</v>
      </c>
      <c r="G38" s="1106">
        <f t="shared" si="10"/>
        <v>0</v>
      </c>
      <c r="H38" s="1105">
        <f t="shared" si="10"/>
        <v>0</v>
      </c>
      <c r="I38" s="1105">
        <f t="shared" si="10"/>
        <v>0</v>
      </c>
      <c r="J38" s="1105">
        <f t="shared" si="10"/>
        <v>0</v>
      </c>
      <c r="K38" s="1107">
        <f t="shared" si="10"/>
        <v>37</v>
      </c>
      <c r="L38" s="1102">
        <f>SUM(C38:K38)</f>
        <v>37</v>
      </c>
    </row>
    <row r="39" spans="1:12" ht="19.5" thickBot="1" x14ac:dyDescent="0.35">
      <c r="A39" s="1108" t="s">
        <v>833</v>
      </c>
      <c r="B39" s="1109">
        <v>419216</v>
      </c>
      <c r="C39" s="1110">
        <f>C25+C38</f>
        <v>-4608</v>
      </c>
      <c r="D39" s="1111">
        <f>D25+D38</f>
        <v>-1047</v>
      </c>
      <c r="E39" s="1111">
        <f t="shared" ref="E39:K39" si="11">E25+E38</f>
        <v>51456</v>
      </c>
      <c r="F39" s="1111">
        <f t="shared" si="11"/>
        <v>-5855</v>
      </c>
      <c r="G39" s="1112">
        <f t="shared" si="11"/>
        <v>13993</v>
      </c>
      <c r="H39" s="1111">
        <f t="shared" si="11"/>
        <v>-4523</v>
      </c>
      <c r="I39" s="1111">
        <f t="shared" si="11"/>
        <v>17630</v>
      </c>
      <c r="J39" s="1111">
        <f t="shared" si="11"/>
        <v>9377</v>
      </c>
      <c r="K39" s="1113">
        <f t="shared" si="11"/>
        <v>-842598</v>
      </c>
      <c r="L39" s="1114">
        <f>SUM(C39:K39)</f>
        <v>-766175</v>
      </c>
    </row>
    <row r="40" spans="1:12" ht="16.5" thickTop="1" x14ac:dyDescent="0.25"/>
  </sheetData>
  <pageMargins left="0.70866141732283472" right="0.70866141732283472" top="0.74803149606299213" bottom="0.74803149606299213" header="0.31496062992125984" footer="0.31496062992125984"/>
  <pageSetup paperSize="8" scale="56" orientation="landscape" r:id="rId1"/>
  <headerFooter>
    <oddHeader>&amp;C&amp;"Times New Roman,Félkövér"&amp;14Eredmény-kimutatás
&amp;"Times New Roman,Normál"/ezer Ft/&amp;R&amp;"Times New Roman,Félkövér"&amp;12 &amp;"Times New Roman,Normál"22.sz melléklet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F18"/>
  <sheetViews>
    <sheetView zoomScaleNormal="100" workbookViewId="0">
      <selection activeCell="A8" sqref="A8"/>
    </sheetView>
  </sheetViews>
  <sheetFormatPr defaultRowHeight="12.75" x14ac:dyDescent="0.2"/>
  <cols>
    <col min="1" max="1" width="7.7109375" customWidth="1"/>
    <col min="2" max="2" width="31.7109375" customWidth="1"/>
    <col min="3" max="3" width="12.7109375" customWidth="1"/>
    <col min="4" max="4" width="12.7109375" style="41" customWidth="1"/>
    <col min="5" max="5" width="13.140625" style="34" customWidth="1"/>
    <col min="6" max="6" width="8.5703125" customWidth="1"/>
  </cols>
  <sheetData>
    <row r="1" spans="1:6" ht="16.5" thickTop="1" x14ac:dyDescent="0.2">
      <c r="A1" s="1224" t="s">
        <v>233</v>
      </c>
      <c r="B1" s="1218" t="s">
        <v>66</v>
      </c>
      <c r="C1" s="1220" t="s">
        <v>113</v>
      </c>
      <c r="D1" s="1221"/>
      <c r="E1" s="1221"/>
      <c r="F1" s="1222" t="s">
        <v>168</v>
      </c>
    </row>
    <row r="2" spans="1:6" ht="16.5" thickBot="1" x14ac:dyDescent="0.25">
      <c r="A2" s="1225"/>
      <c r="B2" s="1219"/>
      <c r="C2" s="32" t="s">
        <v>561</v>
      </c>
      <c r="D2" s="11" t="s">
        <v>562</v>
      </c>
      <c r="E2" s="163" t="s">
        <v>606</v>
      </c>
      <c r="F2" s="1223"/>
    </row>
    <row r="3" spans="1:6" ht="18" customHeight="1" x14ac:dyDescent="0.2">
      <c r="A3" s="341" t="s">
        <v>245</v>
      </c>
      <c r="B3" s="358" t="s">
        <v>71</v>
      </c>
      <c r="C3" s="29">
        <v>520000</v>
      </c>
      <c r="D3" s="440">
        <v>83000</v>
      </c>
      <c r="E3" s="29">
        <f>129751+4</f>
        <v>129755</v>
      </c>
      <c r="F3" s="166">
        <f>E3/D3</f>
        <v>1.5633132530120482</v>
      </c>
    </row>
    <row r="4" spans="1:6" ht="18" customHeight="1" x14ac:dyDescent="0.2">
      <c r="A4" s="327" t="s">
        <v>246</v>
      </c>
      <c r="B4" s="324" t="s">
        <v>147</v>
      </c>
      <c r="C4" s="29">
        <v>165000</v>
      </c>
      <c r="D4" s="154">
        <v>165000</v>
      </c>
      <c r="E4" s="29">
        <f>168941+590</f>
        <v>169531</v>
      </c>
      <c r="F4" s="167">
        <f>E4/D4</f>
        <v>1.027460606060606</v>
      </c>
    </row>
    <row r="5" spans="1:6" ht="18" customHeight="1" x14ac:dyDescent="0.2">
      <c r="A5" s="327" t="s">
        <v>247</v>
      </c>
      <c r="B5" s="324" t="s">
        <v>123</v>
      </c>
      <c r="C5" s="29">
        <v>1300000</v>
      </c>
      <c r="D5" s="154">
        <v>1000000</v>
      </c>
      <c r="E5" s="29">
        <f>1123333+387</f>
        <v>1123720</v>
      </c>
      <c r="F5" s="167">
        <f t="shared" ref="F5:F6" si="0">E5/D5</f>
        <v>1.1237200000000001</v>
      </c>
    </row>
    <row r="6" spans="1:6" ht="18" customHeight="1" x14ac:dyDescent="0.2">
      <c r="A6" s="327" t="s">
        <v>248</v>
      </c>
      <c r="B6" s="324" t="s">
        <v>464</v>
      </c>
      <c r="C6" s="29">
        <v>1000</v>
      </c>
      <c r="D6" s="154">
        <f>1000+1981</f>
        <v>2981</v>
      </c>
      <c r="E6" s="29">
        <f>4408+1000</f>
        <v>5408</v>
      </c>
      <c r="F6" s="167">
        <f t="shared" si="0"/>
        <v>1.8141563233814155</v>
      </c>
    </row>
    <row r="7" spans="1:6" ht="18" customHeight="1" x14ac:dyDescent="0.2">
      <c r="A7" s="327" t="s">
        <v>855</v>
      </c>
      <c r="B7" s="324" t="s">
        <v>366</v>
      </c>
      <c r="C7" s="29"/>
      <c r="D7" s="47"/>
      <c r="E7" s="29">
        <v>353</v>
      </c>
      <c r="F7" s="167">
        <v>0</v>
      </c>
    </row>
    <row r="8" spans="1:6" ht="18" customHeight="1" x14ac:dyDescent="0.2">
      <c r="A8" s="327"/>
      <c r="B8" s="324"/>
      <c r="C8" s="102"/>
      <c r="D8" s="154"/>
      <c r="E8" s="29"/>
      <c r="F8" s="167"/>
    </row>
    <row r="9" spans="1:6" s="125" customFormat="1" ht="18" customHeight="1" x14ac:dyDescent="0.2">
      <c r="A9" s="327"/>
      <c r="B9" s="359" t="s">
        <v>3</v>
      </c>
      <c r="C9" s="438">
        <f>SUM(C3:C7)</f>
        <v>1986000</v>
      </c>
      <c r="D9" s="441">
        <f>SUM(D3:D8)</f>
        <v>1250981</v>
      </c>
      <c r="E9" s="439">
        <f>SUM(E3:E8)</f>
        <v>1428767</v>
      </c>
      <c r="F9" s="375">
        <f>E9/D9</f>
        <v>1.1421172663693533</v>
      </c>
    </row>
    <row r="10" spans="1:6" ht="18" customHeight="1" x14ac:dyDescent="0.2">
      <c r="A10" s="327"/>
      <c r="B10" s="323"/>
      <c r="C10" s="157"/>
      <c r="D10" s="442"/>
      <c r="E10" s="124"/>
      <c r="F10" s="167"/>
    </row>
    <row r="11" spans="1:6" ht="18" customHeight="1" x14ac:dyDescent="0.2">
      <c r="A11" s="327" t="s">
        <v>249</v>
      </c>
      <c r="B11" s="360" t="s">
        <v>124</v>
      </c>
      <c r="C11" s="37">
        <v>82000</v>
      </c>
      <c r="D11" s="37">
        <v>0</v>
      </c>
      <c r="E11" s="475">
        <v>0</v>
      </c>
      <c r="F11" s="167">
        <v>0</v>
      </c>
    </row>
    <row r="12" spans="1:6" ht="18" customHeight="1" x14ac:dyDescent="0.2">
      <c r="A12" s="327"/>
      <c r="B12" s="346"/>
      <c r="C12" s="38"/>
      <c r="D12" s="38"/>
      <c r="E12" s="412"/>
      <c r="F12" s="167"/>
    </row>
    <row r="13" spans="1:6" ht="18" customHeight="1" x14ac:dyDescent="0.2">
      <c r="A13" s="327"/>
      <c r="B13" s="323"/>
      <c r="C13" s="36"/>
      <c r="D13" s="36"/>
      <c r="E13" s="274"/>
      <c r="F13" s="167"/>
    </row>
    <row r="14" spans="1:6" s="17" customFormat="1" ht="18" customHeight="1" thickBot="1" x14ac:dyDescent="0.25">
      <c r="A14" s="349"/>
      <c r="B14" s="361" t="s">
        <v>4</v>
      </c>
      <c r="C14" s="134">
        <f>SUM(C10:C11)</f>
        <v>82000</v>
      </c>
      <c r="D14" s="134">
        <f>SUM(D10:D13)</f>
        <v>0</v>
      </c>
      <c r="E14" s="164">
        <f>SUM(E10:E13)</f>
        <v>0</v>
      </c>
      <c r="F14" s="168">
        <v>0</v>
      </c>
    </row>
    <row r="15" spans="1:6" s="17" customFormat="1" ht="21" customHeight="1" thickBot="1" x14ac:dyDescent="0.25">
      <c r="A15" s="343"/>
      <c r="B15" s="326" t="s">
        <v>63</v>
      </c>
      <c r="C15" s="21">
        <f>SUM(C14+C9)</f>
        <v>2068000</v>
      </c>
      <c r="D15" s="21">
        <f>SUM(D14+D9)</f>
        <v>1250981</v>
      </c>
      <c r="E15" s="129">
        <f>SUM(E14+E9)</f>
        <v>1428767</v>
      </c>
      <c r="F15" s="165">
        <f>E15/D15</f>
        <v>1.1421172663693533</v>
      </c>
    </row>
    <row r="16" spans="1:6" ht="13.5" thickTop="1" x14ac:dyDescent="0.2">
      <c r="B16" s="41"/>
      <c r="C16" s="41"/>
      <c r="F16" s="41"/>
    </row>
    <row r="17" spans="2:6" x14ac:dyDescent="0.2">
      <c r="B17" s="41"/>
      <c r="C17" s="41"/>
      <c r="F17" s="41"/>
    </row>
    <row r="18" spans="2:6" x14ac:dyDescent="0.2">
      <c r="B18" s="41"/>
      <c r="C18" s="41"/>
      <c r="F18" s="41"/>
    </row>
  </sheetData>
  <autoFilter ref="B1:F15">
    <filterColumn colId="1" showButton="0"/>
    <filterColumn colId="2" showButton="0"/>
  </autoFilter>
  <mergeCells count="4">
    <mergeCell ref="B1:B2"/>
    <mergeCell ref="C1:E1"/>
    <mergeCell ref="F1:F2"/>
    <mergeCell ref="A1:A2"/>
  </mergeCells>
  <phoneticPr fontId="0" type="noConversion"/>
  <printOptions horizontalCentered="1"/>
  <pageMargins left="0.15748031496062992" right="0.27559055118110237" top="2.0472440944881889" bottom="0.43307086614173229" header="0.82677165354330717" footer="0.27559055118110237"/>
  <pageSetup paperSize="8" orientation="portrait" r:id="rId1"/>
  <headerFooter alignWithMargins="0">
    <oddHeader>&amp;C&amp;"Times New Roman CE,Félkövér"&amp;16
Helyi adóbevételek és átengedett központi adók&amp;"Times New Roman CE,Normál"&amp;10
&amp;12/ ezer Ft /&amp;R&amp;"Times New Roman,Normál"&amp;12 2.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G24"/>
  <sheetViews>
    <sheetView zoomScaleNormal="100" workbookViewId="0">
      <selection activeCell="C20" sqref="C20"/>
    </sheetView>
  </sheetViews>
  <sheetFormatPr defaultRowHeight="12.75" x14ac:dyDescent="0.2"/>
  <cols>
    <col min="1" max="1" width="7.7109375" customWidth="1"/>
    <col min="2" max="2" width="38" customWidth="1"/>
    <col min="3" max="3" width="12.7109375" customWidth="1"/>
    <col min="4" max="4" width="12.7109375" style="41" customWidth="1"/>
    <col min="5" max="5" width="12.7109375" style="207" customWidth="1"/>
    <col min="6" max="6" width="10" customWidth="1"/>
  </cols>
  <sheetData>
    <row r="1" spans="1:7" ht="16.5" thickTop="1" x14ac:dyDescent="0.2">
      <c r="A1" s="1224" t="s">
        <v>233</v>
      </c>
      <c r="B1" s="1226" t="s">
        <v>66</v>
      </c>
      <c r="C1" s="1227" t="s">
        <v>113</v>
      </c>
      <c r="D1" s="1228"/>
      <c r="E1" s="1228"/>
      <c r="F1" s="1229" t="s">
        <v>168</v>
      </c>
    </row>
    <row r="2" spans="1:7" ht="16.5" thickBot="1" x14ac:dyDescent="0.25">
      <c r="A2" s="1225"/>
      <c r="B2" s="1219"/>
      <c r="C2" s="91" t="s">
        <v>561</v>
      </c>
      <c r="D2" s="96" t="s">
        <v>562</v>
      </c>
      <c r="E2" s="169" t="s">
        <v>606</v>
      </c>
      <c r="F2" s="1230"/>
    </row>
    <row r="3" spans="1:7" s="41" customFormat="1" ht="18" customHeight="1" x14ac:dyDescent="0.2">
      <c r="A3" s="334"/>
      <c r="B3" s="357" t="s">
        <v>149</v>
      </c>
      <c r="C3" s="97"/>
      <c r="D3" s="98"/>
      <c r="E3" s="170"/>
      <c r="F3" s="174"/>
    </row>
    <row r="4" spans="1:7" s="41" customFormat="1" ht="21.95" customHeight="1" x14ac:dyDescent="0.2">
      <c r="A4" s="330" t="s">
        <v>250</v>
      </c>
      <c r="B4" s="358" t="s">
        <v>75</v>
      </c>
      <c r="C4" s="157">
        <f>'Ig bev.'!B36</f>
        <v>3300</v>
      </c>
      <c r="D4" s="157">
        <f>'Ig bev.'!C36</f>
        <v>3100</v>
      </c>
      <c r="E4" s="157">
        <f>'Ig bev.'!D36</f>
        <v>11710</v>
      </c>
      <c r="F4" s="173">
        <f>E4/D4</f>
        <v>3.7774193548387096</v>
      </c>
    </row>
    <row r="5" spans="1:7" ht="21.95" customHeight="1" x14ac:dyDescent="0.2">
      <c r="A5" s="330" t="s">
        <v>251</v>
      </c>
      <c r="B5" s="358" t="s">
        <v>76</v>
      </c>
      <c r="C5" s="36">
        <v>3000</v>
      </c>
      <c r="D5" s="36">
        <v>1000</v>
      </c>
      <c r="E5" s="36">
        <v>3008</v>
      </c>
      <c r="F5" s="173">
        <f t="shared" ref="F5:F10" si="0">E5/D5</f>
        <v>3.008</v>
      </c>
    </row>
    <row r="6" spans="1:7" ht="21.95" customHeight="1" x14ac:dyDescent="0.2">
      <c r="A6" s="327" t="s">
        <v>252</v>
      </c>
      <c r="B6" s="324" t="s">
        <v>420</v>
      </c>
      <c r="C6" s="124">
        <v>1000</v>
      </c>
      <c r="D6" s="36">
        <v>1000</v>
      </c>
      <c r="E6" s="124">
        <v>721</v>
      </c>
      <c r="F6" s="173">
        <f t="shared" si="0"/>
        <v>0.72099999999999997</v>
      </c>
      <c r="G6" s="13"/>
    </row>
    <row r="7" spans="1:7" ht="21.95" customHeight="1" x14ac:dyDescent="0.2">
      <c r="A7" s="327" t="s">
        <v>253</v>
      </c>
      <c r="B7" s="324" t="s">
        <v>546</v>
      </c>
      <c r="C7" s="124">
        <v>1500</v>
      </c>
      <c r="D7" s="36">
        <v>1500</v>
      </c>
      <c r="E7" s="124">
        <v>1778</v>
      </c>
      <c r="F7" s="173">
        <f t="shared" si="0"/>
        <v>1.1853333333333333</v>
      </c>
      <c r="G7" s="13"/>
    </row>
    <row r="8" spans="1:7" ht="21.95" customHeight="1" x14ac:dyDescent="0.2">
      <c r="A8" s="327" t="s">
        <v>267</v>
      </c>
      <c r="B8" s="324" t="s">
        <v>597</v>
      </c>
      <c r="C8" s="124"/>
      <c r="D8" s="36">
        <v>5417</v>
      </c>
      <c r="E8" s="124">
        <v>5417</v>
      </c>
      <c r="F8" s="173">
        <f t="shared" si="0"/>
        <v>1</v>
      </c>
    </row>
    <row r="9" spans="1:7" ht="21.95" customHeight="1" x14ac:dyDescent="0.2">
      <c r="A9" s="540" t="s">
        <v>268</v>
      </c>
      <c r="B9" s="539" t="s">
        <v>598</v>
      </c>
      <c r="C9" s="124"/>
      <c r="D9" s="36">
        <v>5592</v>
      </c>
      <c r="E9" s="124">
        <v>5592</v>
      </c>
      <c r="F9" s="173">
        <f t="shared" si="0"/>
        <v>1</v>
      </c>
    </row>
    <row r="10" spans="1:7" ht="21.95" customHeight="1" x14ac:dyDescent="0.2">
      <c r="A10" s="684" t="s">
        <v>269</v>
      </c>
      <c r="B10" s="791" t="s">
        <v>667</v>
      </c>
      <c r="C10" s="690"/>
      <c r="D10" s="691">
        <v>1870</v>
      </c>
      <c r="E10" s="690">
        <v>1870</v>
      </c>
      <c r="F10" s="687">
        <f t="shared" si="0"/>
        <v>1</v>
      </c>
    </row>
    <row r="11" spans="1:7" ht="21.95" customHeight="1" x14ac:dyDescent="0.2">
      <c r="A11" s="684" t="s">
        <v>271</v>
      </c>
      <c r="B11" s="689" t="s">
        <v>649</v>
      </c>
      <c r="C11" s="690"/>
      <c r="D11" s="691"/>
      <c r="E11" s="690">
        <v>469</v>
      </c>
      <c r="F11" s="687">
        <v>0</v>
      </c>
    </row>
    <row r="12" spans="1:7" ht="18" customHeight="1" x14ac:dyDescent="0.2">
      <c r="A12" s="327"/>
      <c r="B12" s="324"/>
      <c r="C12" s="157"/>
      <c r="D12" s="113"/>
      <c r="E12" s="124"/>
      <c r="F12" s="173"/>
    </row>
    <row r="13" spans="1:7" ht="18" customHeight="1" x14ac:dyDescent="0.2">
      <c r="A13" s="327"/>
      <c r="B13" s="339" t="s">
        <v>150</v>
      </c>
      <c r="C13" s="160">
        <f>SUM(C4:C12)</f>
        <v>8800</v>
      </c>
      <c r="D13" s="161">
        <f>SUM(D4:D12)</f>
        <v>19479</v>
      </c>
      <c r="E13" s="171">
        <f>SUM(E4:E12)</f>
        <v>30565</v>
      </c>
      <c r="F13" s="176">
        <f>E13/D13</f>
        <v>1.5691257251398942</v>
      </c>
    </row>
    <row r="14" spans="1:7" ht="18" customHeight="1" x14ac:dyDescent="0.2">
      <c r="A14" s="327"/>
      <c r="B14" s="339"/>
      <c r="C14" s="157"/>
      <c r="D14" s="36"/>
      <c r="E14" s="124"/>
      <c r="F14" s="173"/>
    </row>
    <row r="15" spans="1:7" ht="18" customHeight="1" x14ac:dyDescent="0.2">
      <c r="A15" s="327"/>
      <c r="B15" s="357" t="s">
        <v>151</v>
      </c>
      <c r="C15" s="157"/>
      <c r="D15" s="113"/>
      <c r="E15" s="124"/>
      <c r="F15" s="173"/>
    </row>
    <row r="16" spans="1:7" s="41" customFormat="1" ht="21.95" customHeight="1" x14ac:dyDescent="0.2">
      <c r="A16" s="330" t="s">
        <v>260</v>
      </c>
      <c r="B16" s="358" t="s">
        <v>84</v>
      </c>
      <c r="C16" s="159">
        <v>200</v>
      </c>
      <c r="D16" s="36">
        <v>50</v>
      </c>
      <c r="E16" s="124">
        <v>494</v>
      </c>
      <c r="F16" s="173">
        <f>E16/D16</f>
        <v>9.8800000000000008</v>
      </c>
    </row>
    <row r="17" spans="1:6" s="41" customFormat="1" ht="21.95" customHeight="1" x14ac:dyDescent="0.2">
      <c r="A17" s="330" t="s">
        <v>261</v>
      </c>
      <c r="B17" s="358" t="s">
        <v>73</v>
      </c>
      <c r="C17" s="159">
        <v>1600</v>
      </c>
      <c r="D17" s="36">
        <v>1000</v>
      </c>
      <c r="E17" s="124">
        <v>2270</v>
      </c>
      <c r="F17" s="173">
        <f t="shared" ref="F17:F19" si="1">E17/D17</f>
        <v>2.27</v>
      </c>
    </row>
    <row r="18" spans="1:6" s="41" customFormat="1" ht="21.95" customHeight="1" x14ac:dyDescent="0.2">
      <c r="A18" s="330" t="s">
        <v>262</v>
      </c>
      <c r="B18" s="324" t="s">
        <v>145</v>
      </c>
      <c r="C18" s="158">
        <f>'Ig bev.'!F36</f>
        <v>9225</v>
      </c>
      <c r="D18" s="113">
        <f>'Ig bev.'!G36</f>
        <v>9225</v>
      </c>
      <c r="E18" s="124">
        <f>'Ig bev.'!H36</f>
        <v>11087</v>
      </c>
      <c r="F18" s="173">
        <f t="shared" si="1"/>
        <v>1.2018428184281842</v>
      </c>
    </row>
    <row r="19" spans="1:6" s="41" customFormat="1" ht="21.95" customHeight="1" x14ac:dyDescent="0.2">
      <c r="A19" s="330"/>
      <c r="B19" s="339" t="s">
        <v>152</v>
      </c>
      <c r="C19" s="283">
        <f>SUM(C16:C18)</f>
        <v>11025</v>
      </c>
      <c r="D19" s="284">
        <f>SUM(D16:D18)</f>
        <v>10275</v>
      </c>
      <c r="E19" s="171">
        <f>SUM(E16:E18)</f>
        <v>13851</v>
      </c>
      <c r="F19" s="176">
        <f t="shared" si="1"/>
        <v>1.348029197080292</v>
      </c>
    </row>
    <row r="20" spans="1:6" s="41" customFormat="1" ht="21.95" customHeight="1" x14ac:dyDescent="0.2">
      <c r="A20" s="330"/>
      <c r="B20" s="339"/>
      <c r="C20" s="196"/>
      <c r="D20" s="197"/>
      <c r="E20" s="263"/>
      <c r="F20" s="176"/>
    </row>
    <row r="21" spans="1:6" ht="18" customHeight="1" thickBot="1" x14ac:dyDescent="0.25">
      <c r="A21" s="349"/>
      <c r="B21" s="339"/>
      <c r="C21" s="99"/>
      <c r="D21" s="100"/>
      <c r="E21" s="172"/>
      <c r="F21" s="175"/>
    </row>
    <row r="22" spans="1:6" s="17" customFormat="1" ht="21" customHeight="1" thickBot="1" x14ac:dyDescent="0.25">
      <c r="A22" s="343"/>
      <c r="B22" s="326" t="s">
        <v>63</v>
      </c>
      <c r="C22" s="93">
        <f>C13+C19</f>
        <v>19825</v>
      </c>
      <c r="D22" s="93">
        <f>D13+D19</f>
        <v>29754</v>
      </c>
      <c r="E22" s="93">
        <f>E13+E19</f>
        <v>44416</v>
      </c>
      <c r="F22" s="177">
        <f>E22/D22</f>
        <v>1.4927740807958594</v>
      </c>
    </row>
    <row r="23" spans="1:6" ht="13.5" thickTop="1" x14ac:dyDescent="0.2">
      <c r="B23" s="41"/>
      <c r="C23" s="41"/>
    </row>
    <row r="24" spans="1:6" x14ac:dyDescent="0.2">
      <c r="B24" s="41"/>
      <c r="C24" s="41"/>
    </row>
  </sheetData>
  <mergeCells count="4">
    <mergeCell ref="B1:B2"/>
    <mergeCell ref="C1:E1"/>
    <mergeCell ref="F1:F2"/>
    <mergeCell ref="A1:A2"/>
  </mergeCells>
  <phoneticPr fontId="0" type="noConversion"/>
  <printOptions horizontalCentered="1"/>
  <pageMargins left="0.34" right="0.31496062992125984" top="1.7716535433070868" bottom="2.75" header="0.70866141732283472" footer="1.78"/>
  <pageSetup paperSize="8" orientation="portrait" r:id="rId1"/>
  <headerFooter alignWithMargins="0">
    <oddHeader>&amp;C&amp;"Times New Roman CE,Félkövér"&amp;16
Egyéb bevételek&amp;"Times New Roman CE,Normál"&amp;18
&amp;11/ ezer Ft /&amp;R&amp;"Times New Roman,Normál"&amp;12 3. 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I40"/>
  <sheetViews>
    <sheetView topLeftCell="A7" zoomScale="115" zoomScaleNormal="115" workbookViewId="0">
      <selection activeCell="H3" sqref="H3"/>
    </sheetView>
  </sheetViews>
  <sheetFormatPr defaultRowHeight="12.75" x14ac:dyDescent="0.2"/>
  <cols>
    <col min="1" max="1" width="29.7109375" customWidth="1"/>
    <col min="2" max="2" width="15.5703125" bestFit="1" customWidth="1"/>
    <col min="3" max="3" width="13.140625" style="207" bestFit="1" customWidth="1"/>
    <col min="4" max="4" width="14.28515625" style="80" bestFit="1" customWidth="1"/>
    <col min="6" max="6" width="15.5703125" bestFit="1" customWidth="1"/>
    <col min="7" max="7" width="13.140625" style="41" bestFit="1" customWidth="1"/>
    <col min="8" max="8" width="14.28515625" style="80" bestFit="1" customWidth="1"/>
  </cols>
  <sheetData>
    <row r="1" spans="1:9" ht="16.5" thickTop="1" x14ac:dyDescent="0.2">
      <c r="A1" s="58"/>
      <c r="B1" s="9" t="s">
        <v>388</v>
      </c>
      <c r="C1" s="268"/>
      <c r="D1" s="60"/>
      <c r="E1" s="41"/>
      <c r="F1" s="198" t="s">
        <v>389</v>
      </c>
      <c r="G1" s="199"/>
      <c r="H1" s="200"/>
      <c r="I1" s="41"/>
    </row>
    <row r="2" spans="1:9" ht="16.5" thickBot="1" x14ac:dyDescent="0.25">
      <c r="A2" s="61" t="s">
        <v>66</v>
      </c>
      <c r="B2" s="62" t="s">
        <v>571</v>
      </c>
      <c r="C2" s="63" t="s">
        <v>572</v>
      </c>
      <c r="D2" s="63" t="s">
        <v>606</v>
      </c>
      <c r="E2" s="41"/>
      <c r="F2" s="201" t="s">
        <v>571</v>
      </c>
      <c r="G2" s="201" t="s">
        <v>572</v>
      </c>
      <c r="H2" s="202" t="s">
        <v>606</v>
      </c>
      <c r="I2" s="41"/>
    </row>
    <row r="3" spans="1:9" ht="18" customHeight="1" x14ac:dyDescent="0.2">
      <c r="A3" s="7" t="s">
        <v>129</v>
      </c>
      <c r="B3" s="25">
        <v>2400</v>
      </c>
      <c r="C3" s="25">
        <v>2400</v>
      </c>
      <c r="D3" s="787">
        <v>739</v>
      </c>
      <c r="E3" s="41"/>
      <c r="F3" s="594"/>
      <c r="G3" s="594"/>
      <c r="H3" s="801">
        <v>350</v>
      </c>
      <c r="I3" s="41"/>
    </row>
    <row r="4" spans="1:9" ht="18" customHeight="1" x14ac:dyDescent="0.2">
      <c r="A4" s="7" t="s">
        <v>130</v>
      </c>
      <c r="B4" s="25"/>
      <c r="C4" s="25"/>
      <c r="D4" s="25"/>
      <c r="E4" s="41"/>
      <c r="F4" s="594"/>
      <c r="G4" s="594"/>
      <c r="H4" s="594"/>
      <c r="I4" s="41"/>
    </row>
    <row r="5" spans="1:9" ht="18" customHeight="1" x14ac:dyDescent="0.2">
      <c r="A5" s="7" t="s">
        <v>170</v>
      </c>
      <c r="B5" s="25"/>
      <c r="C5" s="25"/>
      <c r="D5" s="787">
        <f>280</f>
        <v>280</v>
      </c>
      <c r="E5" s="41"/>
      <c r="F5" s="594"/>
      <c r="G5" s="594"/>
      <c r="H5" s="594"/>
      <c r="I5" s="41"/>
    </row>
    <row r="6" spans="1:9" ht="18" customHeight="1" x14ac:dyDescent="0.2">
      <c r="A6" s="7" t="s">
        <v>204</v>
      </c>
      <c r="B6" s="25"/>
      <c r="C6" s="25"/>
      <c r="D6" s="787">
        <v>410</v>
      </c>
      <c r="E6" s="41"/>
      <c r="F6" s="594"/>
      <c r="G6" s="594"/>
      <c r="H6" s="594"/>
      <c r="I6" s="41"/>
    </row>
    <row r="7" spans="1:9" ht="18" customHeight="1" x14ac:dyDescent="0.2">
      <c r="A7" s="7" t="s">
        <v>212</v>
      </c>
      <c r="B7" s="25"/>
      <c r="C7" s="25"/>
      <c r="D7" s="787"/>
      <c r="E7" s="41"/>
      <c r="F7" s="594"/>
      <c r="G7" s="594"/>
      <c r="H7" s="801">
        <f>340+77</f>
        <v>417</v>
      </c>
      <c r="I7" s="41"/>
    </row>
    <row r="8" spans="1:9" ht="18" customHeight="1" x14ac:dyDescent="0.2">
      <c r="A8" s="7" t="s">
        <v>641</v>
      </c>
      <c r="B8" s="25"/>
      <c r="C8" s="25"/>
      <c r="D8" s="787">
        <v>0</v>
      </c>
      <c r="E8" s="41"/>
      <c r="F8" s="594"/>
      <c r="G8" s="594"/>
      <c r="H8" s="801">
        <f>58+21+21</f>
        <v>100</v>
      </c>
      <c r="I8" s="41"/>
    </row>
    <row r="9" spans="1:9" ht="18" customHeight="1" x14ac:dyDescent="0.2">
      <c r="A9" s="7" t="s">
        <v>131</v>
      </c>
      <c r="B9" s="25">
        <v>400</v>
      </c>
      <c r="C9" s="25">
        <v>200</v>
      </c>
      <c r="D9" s="787">
        <v>251</v>
      </c>
      <c r="E9" s="41"/>
      <c r="F9" s="594"/>
      <c r="G9" s="594"/>
      <c r="H9" s="594"/>
      <c r="I9" s="41"/>
    </row>
    <row r="10" spans="1:9" ht="18" customHeight="1" x14ac:dyDescent="0.2">
      <c r="A10" s="7" t="s">
        <v>132</v>
      </c>
      <c r="B10" s="25"/>
      <c r="C10" s="25"/>
      <c r="D10" s="787">
        <v>37</v>
      </c>
      <c r="E10" s="41"/>
      <c r="F10" s="594"/>
      <c r="G10" s="594"/>
      <c r="H10" s="594"/>
      <c r="I10" s="41"/>
    </row>
    <row r="11" spans="1:9" ht="18" customHeight="1" x14ac:dyDescent="0.2">
      <c r="A11" s="7" t="s">
        <v>613</v>
      </c>
      <c r="B11" s="25"/>
      <c r="C11" s="25"/>
      <c r="D11" s="787">
        <v>25</v>
      </c>
      <c r="E11" s="41"/>
      <c r="F11" s="594"/>
      <c r="G11" s="594"/>
      <c r="H11" s="594"/>
      <c r="I11" s="41"/>
    </row>
    <row r="12" spans="1:9" ht="18" customHeight="1" x14ac:dyDescent="0.2">
      <c r="A12" s="7" t="s">
        <v>653</v>
      </c>
      <c r="B12" s="25"/>
      <c r="C12" s="25"/>
      <c r="D12" s="787">
        <v>1</v>
      </c>
      <c r="E12" s="41"/>
      <c r="F12" s="594"/>
      <c r="G12" s="594"/>
      <c r="H12" s="801">
        <v>158</v>
      </c>
      <c r="I12" s="41"/>
    </row>
    <row r="13" spans="1:9" s="41" customFormat="1" ht="18" customHeight="1" x14ac:dyDescent="0.2">
      <c r="A13" s="7" t="s">
        <v>644</v>
      </c>
      <c r="B13" s="25"/>
      <c r="C13" s="25"/>
      <c r="D13" s="787">
        <f>57+22+562</f>
        <v>641</v>
      </c>
      <c r="F13" s="594"/>
      <c r="G13" s="594"/>
      <c r="H13" s="594"/>
    </row>
    <row r="14" spans="1:9" s="41" customFormat="1" ht="18" customHeight="1" x14ac:dyDescent="0.2">
      <c r="A14" s="7" t="s">
        <v>612</v>
      </c>
      <c r="B14" s="25"/>
      <c r="C14" s="25"/>
      <c r="D14" s="787">
        <v>43</v>
      </c>
      <c r="F14" s="594"/>
      <c r="G14" s="594"/>
      <c r="H14" s="594"/>
    </row>
    <row r="15" spans="1:9" s="41" customFormat="1" ht="18" customHeight="1" x14ac:dyDescent="0.2">
      <c r="A15" s="7" t="s">
        <v>133</v>
      </c>
      <c r="B15" s="25"/>
      <c r="C15" s="25"/>
      <c r="D15" s="25"/>
      <c r="F15" s="594">
        <v>25</v>
      </c>
      <c r="G15" s="594">
        <v>25</v>
      </c>
      <c r="H15" s="801">
        <v>59</v>
      </c>
    </row>
    <row r="16" spans="1:9" ht="18" customHeight="1" x14ac:dyDescent="0.2">
      <c r="A16" s="7" t="s">
        <v>213</v>
      </c>
      <c r="B16" s="25"/>
      <c r="C16" s="25"/>
      <c r="D16" s="787">
        <v>4060</v>
      </c>
      <c r="E16" s="41"/>
      <c r="F16" s="594"/>
      <c r="G16" s="594"/>
      <c r="H16" s="801">
        <v>481</v>
      </c>
      <c r="I16" s="41"/>
    </row>
    <row r="17" spans="1:9" ht="18" customHeight="1" x14ac:dyDescent="0.2">
      <c r="A17" s="7" t="s">
        <v>203</v>
      </c>
      <c r="B17" s="25"/>
      <c r="C17" s="25"/>
      <c r="D17" s="787">
        <f>169+7+48</f>
        <v>224</v>
      </c>
      <c r="E17" s="41"/>
      <c r="F17" s="594">
        <v>3000</v>
      </c>
      <c r="G17" s="594">
        <v>3000</v>
      </c>
      <c r="H17" s="801">
        <f>1813+467</f>
        <v>2280</v>
      </c>
      <c r="I17" s="41"/>
    </row>
    <row r="18" spans="1:9" ht="18" customHeight="1" x14ac:dyDescent="0.2">
      <c r="A18" s="7" t="s">
        <v>429</v>
      </c>
      <c r="B18" s="25"/>
      <c r="C18" s="25"/>
      <c r="D18" s="787">
        <v>182</v>
      </c>
      <c r="E18" s="41"/>
      <c r="F18" s="594"/>
      <c r="G18" s="594"/>
      <c r="H18" s="594"/>
      <c r="I18" s="41"/>
    </row>
    <row r="19" spans="1:9" ht="18" customHeight="1" x14ac:dyDescent="0.2">
      <c r="A19" s="7" t="s">
        <v>135</v>
      </c>
      <c r="B19" s="25"/>
      <c r="C19" s="25"/>
      <c r="D19" s="787">
        <v>150</v>
      </c>
      <c r="E19" s="41"/>
      <c r="F19" s="594"/>
      <c r="G19" s="594"/>
      <c r="H19" s="594"/>
      <c r="I19" s="41"/>
    </row>
    <row r="20" spans="1:9" ht="18" customHeight="1" x14ac:dyDescent="0.2">
      <c r="A20" s="7" t="s">
        <v>421</v>
      </c>
      <c r="B20" s="25"/>
      <c r="C20" s="25"/>
      <c r="D20" s="787">
        <v>157</v>
      </c>
      <c r="E20" s="41"/>
      <c r="F20" s="594"/>
      <c r="G20" s="594"/>
      <c r="H20" s="594"/>
      <c r="I20" s="41"/>
    </row>
    <row r="21" spans="1:9" ht="18" customHeight="1" x14ac:dyDescent="0.2">
      <c r="A21" s="7" t="s">
        <v>434</v>
      </c>
      <c r="B21" s="25"/>
      <c r="C21" s="25"/>
      <c r="D21" s="787">
        <v>114</v>
      </c>
      <c r="E21" s="41"/>
      <c r="F21" s="594"/>
      <c r="G21" s="594"/>
      <c r="H21" s="594"/>
      <c r="I21" s="41"/>
    </row>
    <row r="22" spans="1:9" ht="18" customHeight="1" x14ac:dyDescent="0.2">
      <c r="A22" s="7" t="s">
        <v>202</v>
      </c>
      <c r="B22" s="25"/>
      <c r="C22" s="25"/>
      <c r="D22" s="787">
        <v>48</v>
      </c>
      <c r="E22" s="41"/>
      <c r="F22" s="594"/>
      <c r="G22" s="594"/>
      <c r="H22" s="594"/>
      <c r="I22" s="41"/>
    </row>
    <row r="23" spans="1:9" ht="18" customHeight="1" x14ac:dyDescent="0.2">
      <c r="A23" s="7" t="s">
        <v>205</v>
      </c>
      <c r="B23" s="25"/>
      <c r="C23" s="25"/>
      <c r="D23" s="25"/>
      <c r="E23" s="41"/>
      <c r="F23" s="594"/>
      <c r="G23" s="594"/>
      <c r="H23" s="801">
        <v>2</v>
      </c>
      <c r="I23" s="41"/>
    </row>
    <row r="24" spans="1:9" ht="18" customHeight="1" x14ac:dyDescent="0.2">
      <c r="A24" s="7" t="s">
        <v>658</v>
      </c>
      <c r="B24" s="25">
        <v>500</v>
      </c>
      <c r="C24" s="25">
        <v>500</v>
      </c>
      <c r="D24" s="787">
        <f>2566</f>
        <v>2566</v>
      </c>
      <c r="E24" s="41"/>
      <c r="F24" s="594"/>
      <c r="G24" s="594"/>
      <c r="H24" s="594"/>
      <c r="I24" s="41"/>
    </row>
    <row r="25" spans="1:9" ht="18" customHeight="1" x14ac:dyDescent="0.2">
      <c r="A25" s="7" t="s">
        <v>646</v>
      </c>
      <c r="B25" s="25"/>
      <c r="C25" s="25"/>
      <c r="D25" s="787">
        <f>315+78</f>
        <v>393</v>
      </c>
      <c r="E25" s="41"/>
      <c r="F25" s="594"/>
      <c r="G25" s="594"/>
      <c r="H25" s="594"/>
      <c r="I25" s="41"/>
    </row>
    <row r="26" spans="1:9" ht="18" customHeight="1" x14ac:dyDescent="0.2">
      <c r="A26" s="7" t="s">
        <v>608</v>
      </c>
      <c r="B26" s="25"/>
      <c r="C26" s="25"/>
      <c r="D26" s="25"/>
      <c r="E26" s="41"/>
      <c r="F26" s="594"/>
      <c r="G26" s="594"/>
      <c r="H26" s="801">
        <v>184</v>
      </c>
      <c r="I26" s="41"/>
    </row>
    <row r="27" spans="1:9" ht="18" customHeight="1" x14ac:dyDescent="0.2">
      <c r="A27" s="7" t="s">
        <v>623</v>
      </c>
      <c r="B27" s="25"/>
      <c r="C27" s="25"/>
      <c r="D27" s="787">
        <v>133</v>
      </c>
      <c r="E27" s="41"/>
      <c r="F27" s="594"/>
      <c r="G27" s="594"/>
      <c r="H27" s="594"/>
      <c r="I27" s="41"/>
    </row>
    <row r="28" spans="1:9" ht="18" customHeight="1" x14ac:dyDescent="0.2">
      <c r="A28" s="7" t="s">
        <v>616</v>
      </c>
      <c r="B28" s="25"/>
      <c r="C28" s="25"/>
      <c r="D28" s="787">
        <v>594</v>
      </c>
      <c r="E28" s="41"/>
      <c r="F28" s="594"/>
      <c r="G28" s="594"/>
      <c r="H28" s="594"/>
      <c r="I28" s="41"/>
    </row>
    <row r="29" spans="1:9" ht="18" customHeight="1" x14ac:dyDescent="0.2">
      <c r="A29" s="7" t="s">
        <v>134</v>
      </c>
      <c r="B29" s="25"/>
      <c r="C29" s="25"/>
      <c r="D29" s="25"/>
      <c r="E29" s="41"/>
      <c r="F29" s="594">
        <v>2200</v>
      </c>
      <c r="G29" s="594">
        <v>2200</v>
      </c>
      <c r="H29" s="801">
        <v>2262</v>
      </c>
      <c r="I29" s="41"/>
    </row>
    <row r="30" spans="1:9" ht="18" customHeight="1" x14ac:dyDescent="0.2">
      <c r="A30" s="7" t="s">
        <v>211</v>
      </c>
      <c r="B30" s="25"/>
      <c r="C30" s="25"/>
      <c r="D30" s="25"/>
      <c r="E30" s="41"/>
      <c r="F30" s="594">
        <v>4000</v>
      </c>
      <c r="G30" s="594">
        <v>4000</v>
      </c>
      <c r="H30" s="801">
        <v>3056</v>
      </c>
      <c r="I30" s="41"/>
    </row>
    <row r="31" spans="1:9" ht="18" customHeight="1" x14ac:dyDescent="0.2">
      <c r="A31" s="7" t="s">
        <v>486</v>
      </c>
      <c r="B31" s="25"/>
      <c r="C31" s="25"/>
      <c r="D31" s="787">
        <v>366</v>
      </c>
      <c r="E31" s="41"/>
      <c r="F31" s="594"/>
      <c r="G31" s="594"/>
      <c r="H31" s="594"/>
      <c r="I31" s="41"/>
    </row>
    <row r="32" spans="1:9" ht="18" customHeight="1" x14ac:dyDescent="0.2">
      <c r="A32" s="7" t="s">
        <v>136</v>
      </c>
      <c r="B32" s="25"/>
      <c r="C32" s="25"/>
      <c r="D32" s="25"/>
      <c r="E32" s="41"/>
      <c r="F32" s="594"/>
      <c r="G32" s="594"/>
      <c r="H32" s="801">
        <v>82</v>
      </c>
      <c r="I32" s="41"/>
    </row>
    <row r="33" spans="1:9" ht="18" customHeight="1" x14ac:dyDescent="0.2">
      <c r="A33" s="7" t="s">
        <v>609</v>
      </c>
      <c r="B33" s="25"/>
      <c r="C33" s="25"/>
      <c r="D33" s="25"/>
      <c r="E33" s="41"/>
      <c r="F33" s="594"/>
      <c r="G33" s="594"/>
      <c r="H33" s="801">
        <v>1656</v>
      </c>
      <c r="I33" s="41"/>
    </row>
    <row r="34" spans="1:9" ht="18" customHeight="1" x14ac:dyDescent="0.2">
      <c r="A34" s="7" t="s">
        <v>614</v>
      </c>
      <c r="B34" s="25"/>
      <c r="C34" s="25"/>
      <c r="D34" s="787">
        <v>10</v>
      </c>
      <c r="E34" s="41"/>
      <c r="F34" s="594"/>
      <c r="G34" s="594"/>
      <c r="H34" s="594"/>
      <c r="I34" s="41"/>
    </row>
    <row r="35" spans="1:9" ht="18" customHeight="1" thickBot="1" x14ac:dyDescent="0.25">
      <c r="A35" s="7" t="s">
        <v>617</v>
      </c>
      <c r="B35" s="25"/>
      <c r="C35" s="25"/>
      <c r="D35" s="787">
        <v>286</v>
      </c>
      <c r="E35" s="41"/>
      <c r="F35" s="594"/>
      <c r="G35" s="594"/>
      <c r="H35" s="594"/>
      <c r="I35" s="41"/>
    </row>
    <row r="36" spans="1:9" ht="18" customHeight="1" thickBot="1" x14ac:dyDescent="0.25">
      <c r="A36" s="14" t="s">
        <v>63</v>
      </c>
      <c r="B36" s="138">
        <f>SUM(B3:B35)</f>
        <v>3300</v>
      </c>
      <c r="C36" s="269">
        <f>SUM(C3:C35)</f>
        <v>3100</v>
      </c>
      <c r="D36" s="112">
        <f>SUM(D3:D35)</f>
        <v>11710</v>
      </c>
      <c r="E36" s="41"/>
      <c r="F36" s="203">
        <f>SUM(F3:F35)</f>
        <v>9225</v>
      </c>
      <c r="G36" s="204">
        <f>SUM(G3:G35)</f>
        <v>9225</v>
      </c>
      <c r="H36" s="205">
        <f>SUM(H3:H35)</f>
        <v>11087</v>
      </c>
      <c r="I36" s="41"/>
    </row>
    <row r="37" spans="1:9" ht="13.5" thickTop="1" x14ac:dyDescent="0.2">
      <c r="A37" s="41"/>
      <c r="B37" s="41"/>
      <c r="E37" s="41"/>
      <c r="F37" s="206"/>
      <c r="G37" s="206"/>
      <c r="H37" s="454"/>
      <c r="I37" s="41"/>
    </row>
    <row r="38" spans="1:9" x14ac:dyDescent="0.2">
      <c r="A38" s="64"/>
      <c r="B38" s="472"/>
      <c r="C38" s="472"/>
      <c r="D38" s="473"/>
      <c r="E38" s="472"/>
      <c r="F38" s="474"/>
      <c r="G38" s="474"/>
      <c r="H38" s="474"/>
      <c r="I38" s="41"/>
    </row>
    <row r="39" spans="1:9" x14ac:dyDescent="0.2">
      <c r="A39" s="64" t="s">
        <v>603</v>
      </c>
      <c r="B39" s="312"/>
      <c r="C39" s="472"/>
      <c r="D39" s="472"/>
      <c r="E39" s="312"/>
      <c r="F39" s="474"/>
      <c r="G39" s="474">
        <v>1496</v>
      </c>
      <c r="H39" s="802">
        <v>1487</v>
      </c>
    </row>
    <row r="40" spans="1:9" x14ac:dyDescent="0.2">
      <c r="A40" s="64" t="s">
        <v>604</v>
      </c>
      <c r="B40" s="312"/>
      <c r="C40" s="472"/>
      <c r="D40" s="472"/>
      <c r="E40" s="312"/>
      <c r="F40" s="474"/>
      <c r="G40" s="474">
        <f>760+1064</f>
        <v>1824</v>
      </c>
      <c r="H40" s="802">
        <f>760+1064</f>
        <v>1824</v>
      </c>
    </row>
  </sheetData>
  <phoneticPr fontId="0" type="noConversion"/>
  <printOptions horizontalCentered="1"/>
  <pageMargins left="0.49" right="0.8" top="1.55" bottom="0.74" header="0.78" footer="0.43"/>
  <pageSetup paperSize="8" orientation="portrait" blackAndWhite="1" horizontalDpi="120" verticalDpi="144" r:id="rId1"/>
  <headerFooter alignWithMargins="0">
    <oddHeader>&amp;C&amp;"Times New Roman CE,Normál"&amp;14Igazgatási feladatok bevételei&amp;R&amp;D  &amp;T</oddHeader>
    <oddFooter xml:space="preserve">&amp;R17.sz.melléklet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F32"/>
  <sheetViews>
    <sheetView zoomScaleNormal="100" workbookViewId="0">
      <selection activeCell="E4" sqref="E4"/>
    </sheetView>
  </sheetViews>
  <sheetFormatPr defaultColWidth="8.85546875" defaultRowHeight="12.75" x14ac:dyDescent="0.2"/>
  <cols>
    <col min="1" max="1" width="7.85546875" style="41" customWidth="1"/>
    <col min="2" max="2" width="44.28515625" style="41" customWidth="1"/>
    <col min="3" max="3" width="12.7109375" style="41" customWidth="1"/>
    <col min="4" max="4" width="12.7109375" style="34" customWidth="1"/>
    <col min="5" max="5" width="12.7109375" style="207" customWidth="1"/>
    <col min="6" max="6" width="9.7109375" style="41" customWidth="1"/>
    <col min="7" max="16384" width="8.85546875" style="41"/>
  </cols>
  <sheetData>
    <row r="1" spans="1:6" ht="16.5" thickTop="1" x14ac:dyDescent="0.2">
      <c r="A1" s="1235" t="s">
        <v>233</v>
      </c>
      <c r="B1" s="1226" t="s">
        <v>66</v>
      </c>
      <c r="C1" s="1231" t="s">
        <v>113</v>
      </c>
      <c r="D1" s="1232"/>
      <c r="E1" s="1232"/>
      <c r="F1" s="1233" t="s">
        <v>168</v>
      </c>
    </row>
    <row r="2" spans="1:6" ht="16.5" thickBot="1" x14ac:dyDescent="0.25">
      <c r="A2" s="1236"/>
      <c r="B2" s="1219"/>
      <c r="C2" s="87" t="s">
        <v>561</v>
      </c>
      <c r="D2" s="88" t="s">
        <v>562</v>
      </c>
      <c r="E2" s="178" t="s">
        <v>606</v>
      </c>
      <c r="F2" s="1234"/>
    </row>
    <row r="3" spans="1:6" ht="21.95" customHeight="1" x14ac:dyDescent="0.2">
      <c r="A3" s="334" t="s">
        <v>254</v>
      </c>
      <c r="B3" s="324" t="s">
        <v>112</v>
      </c>
      <c r="C3" s="282">
        <v>3240</v>
      </c>
      <c r="D3" s="282">
        <v>3240</v>
      </c>
      <c r="E3" s="282">
        <v>3600</v>
      </c>
      <c r="F3" s="193">
        <f>E3/D3</f>
        <v>1.1111111111111112</v>
      </c>
    </row>
    <row r="4" spans="1:6" ht="21.75" customHeight="1" x14ac:dyDescent="0.2">
      <c r="A4" s="330" t="s">
        <v>255</v>
      </c>
      <c r="B4" s="356" t="s">
        <v>625</v>
      </c>
      <c r="C4" s="179">
        <v>127798</v>
      </c>
      <c r="D4" s="179">
        <f>127798+224+875</f>
        <v>128897</v>
      </c>
      <c r="E4" s="179">
        <f>72480+224</f>
        <v>72704</v>
      </c>
      <c r="F4" s="173">
        <f>E4/D4</f>
        <v>0.56404726254296067</v>
      </c>
    </row>
    <row r="5" spans="1:6" ht="21.75" customHeight="1" x14ac:dyDescent="0.2">
      <c r="A5" s="330" t="s">
        <v>256</v>
      </c>
      <c r="B5" s="356" t="s">
        <v>477</v>
      </c>
      <c r="C5" s="83">
        <v>901</v>
      </c>
      <c r="D5" s="179">
        <v>901</v>
      </c>
      <c r="E5" s="179">
        <v>0</v>
      </c>
      <c r="F5" s="173">
        <f t="shared" ref="F5:F13" si="0">E5/D5</f>
        <v>0</v>
      </c>
    </row>
    <row r="6" spans="1:6" ht="21.75" customHeight="1" x14ac:dyDescent="0.2">
      <c r="A6" s="330" t="s">
        <v>257</v>
      </c>
      <c r="B6" s="356" t="s">
        <v>440</v>
      </c>
      <c r="C6" s="83">
        <v>1000</v>
      </c>
      <c r="D6" s="179">
        <v>1000</v>
      </c>
      <c r="E6" s="179">
        <v>0</v>
      </c>
      <c r="F6" s="173">
        <f t="shared" si="0"/>
        <v>0</v>
      </c>
    </row>
    <row r="7" spans="1:6" ht="21.75" customHeight="1" x14ac:dyDescent="0.2">
      <c r="A7" s="330" t="s">
        <v>308</v>
      </c>
      <c r="B7" s="356" t="s">
        <v>487</v>
      </c>
      <c r="C7" s="83">
        <v>17520</v>
      </c>
      <c r="D7" s="179">
        <v>5110</v>
      </c>
      <c r="E7" s="179">
        <v>5783</v>
      </c>
      <c r="F7" s="173">
        <f t="shared" si="0"/>
        <v>1.1317025440313111</v>
      </c>
    </row>
    <row r="8" spans="1:6" ht="21.75" customHeight="1" x14ac:dyDescent="0.2">
      <c r="A8" s="330" t="s">
        <v>309</v>
      </c>
      <c r="B8" s="356" t="s">
        <v>599</v>
      </c>
      <c r="C8" s="83"/>
      <c r="D8" s="179">
        <v>2740</v>
      </c>
      <c r="E8" s="179">
        <v>2740</v>
      </c>
      <c r="F8" s="173">
        <f t="shared" si="0"/>
        <v>1</v>
      </c>
    </row>
    <row r="9" spans="1:6" ht="21.75" customHeight="1" x14ac:dyDescent="0.2">
      <c r="A9" s="330" t="s">
        <v>310</v>
      </c>
      <c r="B9" s="356" t="s">
        <v>600</v>
      </c>
      <c r="C9" s="83"/>
      <c r="D9" s="179">
        <v>2617</v>
      </c>
      <c r="E9" s="179">
        <v>2601</v>
      </c>
      <c r="F9" s="173">
        <f t="shared" si="0"/>
        <v>0.99388612915552155</v>
      </c>
    </row>
    <row r="10" spans="1:6" ht="21.75" customHeight="1" x14ac:dyDescent="0.2">
      <c r="A10" s="693" t="s">
        <v>311</v>
      </c>
      <c r="B10" s="685" t="s">
        <v>615</v>
      </c>
      <c r="C10" s="686"/>
      <c r="D10" s="688">
        <f>173+44</f>
        <v>217</v>
      </c>
      <c r="E10" s="688">
        <f>202+15</f>
        <v>217</v>
      </c>
      <c r="F10" s="173">
        <f t="shared" si="0"/>
        <v>1</v>
      </c>
    </row>
    <row r="11" spans="1:6" ht="21.75" customHeight="1" x14ac:dyDescent="0.2">
      <c r="A11" s="693" t="s">
        <v>312</v>
      </c>
      <c r="B11" s="685" t="s">
        <v>611</v>
      </c>
      <c r="C11" s="686"/>
      <c r="D11" s="688">
        <v>1571</v>
      </c>
      <c r="E11" s="688">
        <v>1571</v>
      </c>
      <c r="F11" s="173">
        <f t="shared" si="0"/>
        <v>1</v>
      </c>
    </row>
    <row r="12" spans="1:6" ht="21.75" customHeight="1" x14ac:dyDescent="0.2">
      <c r="A12" s="693" t="s">
        <v>391</v>
      </c>
      <c r="B12" s="685" t="s">
        <v>618</v>
      </c>
      <c r="C12" s="686"/>
      <c r="D12" s="688">
        <v>96310</v>
      </c>
      <c r="E12" s="688">
        <f>92851+3501</f>
        <v>96352</v>
      </c>
      <c r="F12" s="173">
        <f t="shared" si="0"/>
        <v>1.0004360917869379</v>
      </c>
    </row>
    <row r="13" spans="1:6" ht="21.75" customHeight="1" x14ac:dyDescent="0.2">
      <c r="A13" s="693" t="s">
        <v>406</v>
      </c>
      <c r="B13" s="685" t="s">
        <v>622</v>
      </c>
      <c r="C13" s="686"/>
      <c r="D13" s="688">
        <v>700</v>
      </c>
      <c r="E13" s="688">
        <v>700</v>
      </c>
      <c r="F13" s="173">
        <f t="shared" si="0"/>
        <v>1</v>
      </c>
    </row>
    <row r="14" spans="1:6" ht="21.75" customHeight="1" x14ac:dyDescent="0.2">
      <c r="A14" s="330"/>
      <c r="B14" s="356" t="s">
        <v>645</v>
      </c>
      <c r="C14" s="83"/>
      <c r="D14" s="86"/>
      <c r="E14" s="179">
        <f>220+516+40</f>
        <v>776</v>
      </c>
      <c r="F14" s="173">
        <v>0</v>
      </c>
    </row>
    <row r="15" spans="1:6" ht="21.75" customHeight="1" x14ac:dyDescent="0.2">
      <c r="A15" s="693"/>
      <c r="B15" s="685" t="s">
        <v>660</v>
      </c>
      <c r="C15" s="686"/>
      <c r="D15" s="86">
        <v>350</v>
      </c>
      <c r="E15" s="688">
        <v>350</v>
      </c>
      <c r="F15" s="687">
        <v>0</v>
      </c>
    </row>
    <row r="16" spans="1:6" s="77" customFormat="1" ht="18" customHeight="1" x14ac:dyDescent="0.2">
      <c r="A16" s="330"/>
      <c r="B16" s="339" t="s">
        <v>15</v>
      </c>
      <c r="C16" s="132">
        <f>SUM(C3:C14)</f>
        <v>150459</v>
      </c>
      <c r="D16" s="132">
        <f>SUM(D3:D15)</f>
        <v>243653</v>
      </c>
      <c r="E16" s="180">
        <f>SUM(E3:E15)</f>
        <v>187394</v>
      </c>
      <c r="F16" s="176">
        <f>E16/D16</f>
        <v>0.76910196057508018</v>
      </c>
    </row>
    <row r="17" spans="1:6" ht="18" customHeight="1" x14ac:dyDescent="0.2">
      <c r="A17" s="330"/>
      <c r="B17" s="324"/>
      <c r="C17" s="694"/>
      <c r="D17" s="86"/>
      <c r="E17" s="179"/>
      <c r="F17" s="173"/>
    </row>
    <row r="18" spans="1:6" ht="27.75" customHeight="1" x14ac:dyDescent="0.2">
      <c r="A18" s="330" t="s">
        <v>258</v>
      </c>
      <c r="B18" s="322" t="s">
        <v>424</v>
      </c>
      <c r="C18" s="694">
        <v>24769</v>
      </c>
      <c r="D18" s="86">
        <v>24769</v>
      </c>
      <c r="E18" s="179">
        <v>11857</v>
      </c>
      <c r="F18" s="173">
        <f>E18/D18</f>
        <v>0.47870321773184221</v>
      </c>
    </row>
    <row r="19" spans="1:6" ht="18" customHeight="1" x14ac:dyDescent="0.2">
      <c r="A19" s="330" t="s">
        <v>259</v>
      </c>
      <c r="B19" s="324" t="s">
        <v>425</v>
      </c>
      <c r="C19" s="694">
        <v>93300</v>
      </c>
      <c r="D19" s="86">
        <v>93300</v>
      </c>
      <c r="E19" s="179">
        <v>28870</v>
      </c>
      <c r="F19" s="173">
        <f t="shared" ref="F19:F28" si="1">E19/D19</f>
        <v>0.30943193997856377</v>
      </c>
    </row>
    <row r="20" spans="1:6" ht="18" customHeight="1" x14ac:dyDescent="0.2">
      <c r="A20" s="330" t="s">
        <v>403</v>
      </c>
      <c r="B20" s="324" t="s">
        <v>432</v>
      </c>
      <c r="C20" s="694">
        <v>50799</v>
      </c>
      <c r="D20" s="86">
        <v>50799</v>
      </c>
      <c r="E20" s="179">
        <v>51834</v>
      </c>
      <c r="F20" s="173">
        <f t="shared" si="1"/>
        <v>1.0203744168192288</v>
      </c>
    </row>
    <row r="21" spans="1:6" ht="18" customHeight="1" x14ac:dyDescent="0.2">
      <c r="A21" s="330" t="s">
        <v>426</v>
      </c>
      <c r="B21" s="324" t="s">
        <v>472</v>
      </c>
      <c r="C21" s="694">
        <v>9817</v>
      </c>
      <c r="D21" s="86">
        <v>9817</v>
      </c>
      <c r="E21" s="179">
        <v>9817</v>
      </c>
      <c r="F21" s="173">
        <f t="shared" si="1"/>
        <v>1</v>
      </c>
    </row>
    <row r="22" spans="1:6" ht="25.5" customHeight="1" x14ac:dyDescent="0.2">
      <c r="A22" s="330" t="s">
        <v>427</v>
      </c>
      <c r="B22" s="356" t="s">
        <v>488</v>
      </c>
      <c r="C22" s="694">
        <v>1007350</v>
      </c>
      <c r="D22" s="86">
        <v>1007350</v>
      </c>
      <c r="E22" s="179"/>
      <c r="F22" s="173">
        <f t="shared" si="1"/>
        <v>0</v>
      </c>
    </row>
    <row r="23" spans="1:6" ht="18" customHeight="1" x14ac:dyDescent="0.2">
      <c r="A23" s="330" t="s">
        <v>478</v>
      </c>
      <c r="B23" s="324" t="s">
        <v>489</v>
      </c>
      <c r="C23" s="694">
        <v>12850</v>
      </c>
      <c r="D23" s="86">
        <v>12850</v>
      </c>
      <c r="E23" s="179"/>
      <c r="F23" s="173">
        <f t="shared" si="1"/>
        <v>0</v>
      </c>
    </row>
    <row r="24" spans="1:6" ht="18" customHeight="1" x14ac:dyDescent="0.2">
      <c r="A24" s="537" t="s">
        <v>547</v>
      </c>
      <c r="B24" s="322" t="s">
        <v>493</v>
      </c>
      <c r="C24" s="695">
        <v>245000</v>
      </c>
      <c r="D24" s="86">
        <v>245000</v>
      </c>
      <c r="E24" s="554"/>
      <c r="F24" s="173">
        <f t="shared" si="1"/>
        <v>0</v>
      </c>
    </row>
    <row r="25" spans="1:6" ht="18" customHeight="1" x14ac:dyDescent="0.2">
      <c r="A25" s="537" t="s">
        <v>548</v>
      </c>
      <c r="B25" s="539" t="s">
        <v>517</v>
      </c>
      <c r="C25" s="695">
        <v>63329</v>
      </c>
      <c r="D25" s="86">
        <v>0</v>
      </c>
      <c r="E25" s="554"/>
      <c r="F25" s="173">
        <v>0</v>
      </c>
    </row>
    <row r="26" spans="1:6" ht="18" customHeight="1" x14ac:dyDescent="0.2">
      <c r="A26" s="330" t="s">
        <v>549</v>
      </c>
      <c r="B26" s="338" t="s">
        <v>525</v>
      </c>
      <c r="C26" s="85">
        <v>99999</v>
      </c>
      <c r="D26" s="86">
        <v>99999</v>
      </c>
      <c r="E26" s="179"/>
      <c r="F26" s="173">
        <f t="shared" si="1"/>
        <v>0</v>
      </c>
    </row>
    <row r="27" spans="1:6" ht="18" customHeight="1" x14ac:dyDescent="0.2">
      <c r="A27" s="330" t="s">
        <v>634</v>
      </c>
      <c r="B27" s="324" t="s">
        <v>635</v>
      </c>
      <c r="C27" s="694"/>
      <c r="D27" s="86">
        <v>27736</v>
      </c>
      <c r="E27" s="179">
        <v>27736</v>
      </c>
      <c r="F27" s="173">
        <f t="shared" si="1"/>
        <v>1</v>
      </c>
    </row>
    <row r="28" spans="1:6" ht="18" customHeight="1" x14ac:dyDescent="0.2">
      <c r="A28" s="793" t="s">
        <v>668</v>
      </c>
      <c r="B28" s="794" t="s">
        <v>669</v>
      </c>
      <c r="C28" s="795"/>
      <c r="D28" s="1132">
        <v>400000</v>
      </c>
      <c r="E28" s="1133">
        <v>400000</v>
      </c>
      <c r="F28" s="796">
        <f t="shared" si="1"/>
        <v>1</v>
      </c>
    </row>
    <row r="29" spans="1:6" ht="18" customHeight="1" x14ac:dyDescent="0.2">
      <c r="A29" s="546" t="s">
        <v>675</v>
      </c>
      <c r="B29" s="568" t="s">
        <v>676</v>
      </c>
      <c r="C29" s="569"/>
      <c r="D29" s="570">
        <v>2678</v>
      </c>
      <c r="E29" s="1134">
        <v>2678</v>
      </c>
      <c r="F29" s="575"/>
    </row>
    <row r="30" spans="1:6" s="77" customFormat="1" ht="18" customHeight="1" thickBot="1" x14ac:dyDescent="0.25">
      <c r="A30" s="342"/>
      <c r="B30" s="339" t="s">
        <v>16</v>
      </c>
      <c r="C30" s="696">
        <f>SUM(C18:C27)</f>
        <v>1607213</v>
      </c>
      <c r="D30" s="133">
        <f>SUM(D18:D29)</f>
        <v>1974298</v>
      </c>
      <c r="E30" s="181">
        <f>SUM(E18:E29)</f>
        <v>532792</v>
      </c>
      <c r="F30" s="655">
        <f>E30/D30</f>
        <v>0.2698640225538394</v>
      </c>
    </row>
    <row r="31" spans="1:6" s="77" customFormat="1" ht="21" customHeight="1" thickBot="1" x14ac:dyDescent="0.25">
      <c r="A31" s="354"/>
      <c r="B31" s="326"/>
      <c r="C31" s="89"/>
      <c r="D31" s="90"/>
      <c r="E31" s="182"/>
      <c r="F31" s="177"/>
    </row>
    <row r="32" spans="1:6" ht="13.5" thickTop="1" x14ac:dyDescent="0.2"/>
  </sheetData>
  <mergeCells count="4">
    <mergeCell ref="B1:B2"/>
    <mergeCell ref="C1:E1"/>
    <mergeCell ref="F1:F2"/>
    <mergeCell ref="A1:A2"/>
  </mergeCells>
  <phoneticPr fontId="0" type="noConversion"/>
  <pageMargins left="0.4" right="0.36" top="1.3" bottom="1.19" header="0.68" footer="0.64"/>
  <pageSetup paperSize="8" scale="97" orientation="portrait" r:id="rId1"/>
  <headerFooter alignWithMargins="0">
    <oddHeader>&amp;C&amp;"Times New Roman CE,Félkövér"&amp;16Átvett pénzeszközök&amp;"Times New Roman CE,Normál"&amp;10
&amp;11/ezer Ft/&amp;R&amp;"Times New Roman,Normál"&amp;12 4.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G10"/>
  <sheetViews>
    <sheetView zoomScaleNormal="100" workbookViewId="0">
      <selection activeCell="I9" sqref="I9"/>
    </sheetView>
  </sheetViews>
  <sheetFormatPr defaultColWidth="8.85546875" defaultRowHeight="12.75" x14ac:dyDescent="0.2"/>
  <cols>
    <col min="1" max="1" width="9.140625" style="336" customWidth="1"/>
    <col min="2" max="2" width="40.7109375" style="41" customWidth="1"/>
    <col min="3" max="4" width="12.7109375" style="41" customWidth="1"/>
    <col min="5" max="5" width="12.7109375" style="34" customWidth="1"/>
    <col min="6" max="6" width="11.42578125" style="41" customWidth="1"/>
    <col min="7" max="16384" width="8.85546875" style="41"/>
  </cols>
  <sheetData>
    <row r="1" spans="1:7" ht="19.5" thickTop="1" x14ac:dyDescent="0.2">
      <c r="A1" s="1235" t="s">
        <v>233</v>
      </c>
      <c r="B1" s="1226" t="s">
        <v>66</v>
      </c>
      <c r="C1" s="1238" t="s">
        <v>10</v>
      </c>
      <c r="D1" s="1232"/>
      <c r="E1" s="1232"/>
      <c r="F1" s="1239" t="s">
        <v>168</v>
      </c>
    </row>
    <row r="2" spans="1:7" ht="16.5" thickBot="1" x14ac:dyDescent="0.25">
      <c r="A2" s="1241"/>
      <c r="B2" s="1237"/>
      <c r="C2" s="91" t="s">
        <v>561</v>
      </c>
      <c r="D2" s="92" t="s">
        <v>562</v>
      </c>
      <c r="E2" s="183" t="s">
        <v>606</v>
      </c>
      <c r="F2" s="1240"/>
    </row>
    <row r="3" spans="1:7" ht="21.95" customHeight="1" x14ac:dyDescent="0.2">
      <c r="A3" s="334" t="s">
        <v>679</v>
      </c>
      <c r="B3" s="443" t="s">
        <v>428</v>
      </c>
      <c r="C3" s="697"/>
      <c r="D3" s="1126">
        <f>26782+22175+10892+5408</f>
        <v>65257</v>
      </c>
      <c r="E3" s="1127">
        <v>65257</v>
      </c>
      <c r="F3" s="193">
        <f>E3/D3</f>
        <v>1</v>
      </c>
      <c r="G3" s="79"/>
    </row>
    <row r="4" spans="1:7" ht="21.95" customHeight="1" x14ac:dyDescent="0.2">
      <c r="A4" s="330" t="s">
        <v>680</v>
      </c>
      <c r="B4" s="324" t="s">
        <v>438</v>
      </c>
      <c r="C4" s="698"/>
      <c r="D4" s="264">
        <v>286</v>
      </c>
      <c r="E4" s="1128">
        <v>286</v>
      </c>
      <c r="F4" s="276">
        <f>E4/D4</f>
        <v>1</v>
      </c>
      <c r="G4" s="79"/>
    </row>
    <row r="5" spans="1:7" ht="21.95" customHeight="1" x14ac:dyDescent="0.2">
      <c r="A5" s="342" t="s">
        <v>681</v>
      </c>
      <c r="B5" s="324" t="s">
        <v>607</v>
      </c>
      <c r="C5" s="698"/>
      <c r="D5" s="264">
        <f>75803+100137</f>
        <v>175940</v>
      </c>
      <c r="E5" s="1128">
        <v>175940</v>
      </c>
      <c r="F5" s="276">
        <f>E5/D5</f>
        <v>1</v>
      </c>
      <c r="G5" s="79"/>
    </row>
    <row r="6" spans="1:7" ht="21.95" customHeight="1" x14ac:dyDescent="0.2">
      <c r="A6" s="793" t="s">
        <v>682</v>
      </c>
      <c r="B6" s="794" t="s">
        <v>670</v>
      </c>
      <c r="C6" s="797"/>
      <c r="D6" s="798">
        <v>10000</v>
      </c>
      <c r="E6" s="1129">
        <v>10000</v>
      </c>
      <c r="F6" s="276">
        <f t="shared" ref="F6:F8" si="0">E6/D6</f>
        <v>1</v>
      </c>
      <c r="G6" s="79"/>
    </row>
    <row r="7" spans="1:7" ht="21.95" customHeight="1" x14ac:dyDescent="0.2">
      <c r="A7" s="793" t="s">
        <v>683</v>
      </c>
      <c r="B7" s="794" t="s">
        <v>671</v>
      </c>
      <c r="C7" s="797"/>
      <c r="D7" s="798"/>
      <c r="E7" s="1129">
        <f>64477+12416</f>
        <v>76893</v>
      </c>
      <c r="F7" s="276">
        <v>0</v>
      </c>
      <c r="G7" s="79"/>
    </row>
    <row r="8" spans="1:7" ht="21.75" customHeight="1" thickBot="1" x14ac:dyDescent="0.25">
      <c r="A8" s="342" t="s">
        <v>684</v>
      </c>
      <c r="B8" s="789" t="s">
        <v>664</v>
      </c>
      <c r="C8" s="699"/>
      <c r="D8" s="1130">
        <v>6542</v>
      </c>
      <c r="E8" s="1131">
        <v>6542</v>
      </c>
      <c r="F8" s="276">
        <f t="shared" si="0"/>
        <v>1</v>
      </c>
    </row>
    <row r="9" spans="1:7" s="77" customFormat="1" ht="21" customHeight="1" thickBot="1" x14ac:dyDescent="0.25">
      <c r="A9" s="354"/>
      <c r="B9" s="326" t="s">
        <v>63</v>
      </c>
      <c r="C9" s="93">
        <f>SUM(C3:C8)</f>
        <v>0</v>
      </c>
      <c r="D9" s="114">
        <f>SUM(D3:D8)</f>
        <v>258025</v>
      </c>
      <c r="E9" s="93">
        <f>SUM(E3:E8)</f>
        <v>334918</v>
      </c>
      <c r="F9" s="188">
        <f t="shared" ref="F9" si="1">E9/D9</f>
        <v>1.2980060071698478</v>
      </c>
    </row>
    <row r="10" spans="1:7" ht="13.5" thickTop="1" x14ac:dyDescent="0.2">
      <c r="E10" s="24"/>
    </row>
  </sheetData>
  <mergeCells count="4">
    <mergeCell ref="B1:B2"/>
    <mergeCell ref="C1:E1"/>
    <mergeCell ref="F1:F2"/>
    <mergeCell ref="A1:A2"/>
  </mergeCells>
  <phoneticPr fontId="0" type="noConversion"/>
  <printOptions horizontalCentered="1"/>
  <pageMargins left="0.59" right="0.78740157480314965" top="2.19" bottom="2.48" header="0.96" footer="1.69"/>
  <pageSetup paperSize="8" scale="90" orientation="portrait" blackAndWhite="1" r:id="rId1"/>
  <headerFooter alignWithMargins="0">
    <oddHeader>&amp;C&amp;"Times New Roman CE,Normál"&amp;18
&amp;"Times New Roman CE,Félkövér"Központosított támogatások&amp;"Times New Roman CE,Normál"
&amp;11/ ezer Ft /&amp;R&amp;"Times New Roman,Normál"&amp;12 5. sz.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G50"/>
  <sheetViews>
    <sheetView topLeftCell="A31" zoomScale="85" zoomScaleNormal="85" workbookViewId="0">
      <selection activeCell="C9" sqref="C9"/>
    </sheetView>
  </sheetViews>
  <sheetFormatPr defaultColWidth="11.42578125" defaultRowHeight="15" customHeight="1" x14ac:dyDescent="0.2"/>
  <cols>
    <col min="1" max="1" width="7.85546875" style="26" customWidth="1"/>
    <col min="2" max="2" width="60.140625" style="39" customWidth="1"/>
    <col min="3" max="3" width="10.28515625" style="56" customWidth="1"/>
    <col min="4" max="4" width="14.28515625" style="56" customWidth="1"/>
    <col min="5" max="5" width="20.7109375" style="57" customWidth="1"/>
    <col min="6" max="7" width="20.5703125" style="26" customWidth="1"/>
    <col min="8" max="8" width="11.42578125" style="26" customWidth="1"/>
    <col min="9" max="16384" width="11.42578125" style="26"/>
  </cols>
  <sheetData>
    <row r="1" spans="1:7" ht="15" hidden="1" customHeight="1" x14ac:dyDescent="0.2">
      <c r="A1" s="377"/>
      <c r="B1" s="378"/>
      <c r="C1" s="378"/>
      <c r="D1" s="378"/>
      <c r="E1" s="378"/>
      <c r="F1" s="378"/>
      <c r="G1" s="379"/>
    </row>
    <row r="2" spans="1:7" ht="15" hidden="1" customHeight="1" x14ac:dyDescent="0.2">
      <c r="A2" s="380"/>
      <c r="B2" s="381"/>
      <c r="C2" s="381"/>
      <c r="D2" s="381"/>
      <c r="E2" s="381"/>
      <c r="F2" s="381"/>
      <c r="G2" s="382"/>
    </row>
    <row r="3" spans="1:7" ht="15" hidden="1" customHeight="1" x14ac:dyDescent="0.2">
      <c r="A3" s="380"/>
      <c r="B3" s="381"/>
      <c r="C3" s="381"/>
      <c r="D3" s="381"/>
      <c r="E3" s="381"/>
      <c r="F3" s="381"/>
      <c r="G3" s="382"/>
    </row>
    <row r="4" spans="1:7" ht="57" customHeight="1" thickBot="1" x14ac:dyDescent="0.25">
      <c r="A4" s="700" t="s">
        <v>46</v>
      </c>
      <c r="B4" s="701" t="s">
        <v>66</v>
      </c>
      <c r="C4" s="702" t="s">
        <v>314</v>
      </c>
      <c r="D4" s="703" t="s">
        <v>175</v>
      </c>
      <c r="E4" s="383" t="s">
        <v>569</v>
      </c>
      <c r="F4" s="383" t="s">
        <v>570</v>
      </c>
      <c r="G4" s="384" t="s">
        <v>606</v>
      </c>
    </row>
    <row r="5" spans="1:7" ht="24.95" customHeight="1" x14ac:dyDescent="0.25">
      <c r="A5" s="704" t="s">
        <v>315</v>
      </c>
      <c r="B5" s="705" t="s">
        <v>316</v>
      </c>
      <c r="C5" s="706" t="s">
        <v>18</v>
      </c>
      <c r="D5" s="707">
        <v>46.82</v>
      </c>
      <c r="E5" s="452">
        <v>214435600</v>
      </c>
      <c r="F5" s="452">
        <f>256422500+1176250</f>
        <v>257598750</v>
      </c>
      <c r="G5" s="708"/>
    </row>
    <row r="6" spans="1:7" ht="24.95" customHeight="1" x14ac:dyDescent="0.25">
      <c r="A6" s="704" t="s">
        <v>317</v>
      </c>
      <c r="B6" s="393" t="s">
        <v>176</v>
      </c>
      <c r="C6" s="709"/>
      <c r="D6" s="710"/>
      <c r="E6" s="385"/>
      <c r="F6" s="385"/>
      <c r="G6" s="386"/>
    </row>
    <row r="7" spans="1:7" ht="24.95" customHeight="1" x14ac:dyDescent="0.25">
      <c r="A7" s="704" t="s">
        <v>318</v>
      </c>
      <c r="B7" s="393" t="s">
        <v>177</v>
      </c>
      <c r="C7" s="709"/>
      <c r="D7" s="711">
        <v>29423520</v>
      </c>
      <c r="E7" s="385"/>
      <c r="F7" s="385"/>
      <c r="G7" s="386"/>
    </row>
    <row r="8" spans="1:7" ht="24.95" customHeight="1" x14ac:dyDescent="0.25">
      <c r="A8" s="704" t="s">
        <v>319</v>
      </c>
      <c r="B8" s="393" t="s">
        <v>178</v>
      </c>
      <c r="C8" s="709"/>
      <c r="D8" s="711">
        <v>70000000</v>
      </c>
      <c r="E8" s="385"/>
      <c r="F8" s="385"/>
      <c r="G8" s="386"/>
    </row>
    <row r="9" spans="1:7" ht="24.95" customHeight="1" x14ac:dyDescent="0.25">
      <c r="A9" s="704" t="s">
        <v>320</v>
      </c>
      <c r="B9" s="393" t="s">
        <v>179</v>
      </c>
      <c r="C9" s="709"/>
      <c r="D9" s="711">
        <v>18043064</v>
      </c>
      <c r="E9" s="385"/>
      <c r="F9" s="385"/>
      <c r="G9" s="386"/>
    </row>
    <row r="10" spans="1:7" ht="24.95" customHeight="1" x14ac:dyDescent="0.25">
      <c r="A10" s="704" t="s">
        <v>321</v>
      </c>
      <c r="B10" s="393" t="s">
        <v>180</v>
      </c>
      <c r="C10" s="709"/>
      <c r="D10" s="711">
        <v>29741900</v>
      </c>
      <c r="E10" s="385"/>
      <c r="F10" s="385"/>
      <c r="G10" s="386"/>
    </row>
    <row r="11" spans="1:7" ht="24.95" customHeight="1" x14ac:dyDescent="0.25">
      <c r="A11" s="704" t="s">
        <v>322</v>
      </c>
      <c r="B11" s="393" t="s">
        <v>323</v>
      </c>
      <c r="C11" s="709"/>
      <c r="D11" s="711">
        <v>65299500</v>
      </c>
      <c r="E11" s="385"/>
      <c r="F11" s="385"/>
      <c r="G11" s="386"/>
    </row>
    <row r="12" spans="1:7" ht="24.95" customHeight="1" x14ac:dyDescent="0.25">
      <c r="A12" s="704" t="s">
        <v>324</v>
      </c>
      <c r="B12" s="393" t="s">
        <v>209</v>
      </c>
      <c r="C12" s="709"/>
      <c r="D12" s="711">
        <v>1586100</v>
      </c>
      <c r="E12" s="385"/>
      <c r="F12" s="385"/>
      <c r="G12" s="386"/>
    </row>
    <row r="13" spans="1:7" ht="24.95" customHeight="1" x14ac:dyDescent="0.25">
      <c r="A13" s="704" t="s">
        <v>325</v>
      </c>
      <c r="B13" s="393" t="s">
        <v>504</v>
      </c>
      <c r="C13" s="709"/>
      <c r="D13" s="711">
        <v>517596117</v>
      </c>
      <c r="E13" s="385">
        <v>435505652</v>
      </c>
      <c r="F13" s="385">
        <v>152136642</v>
      </c>
      <c r="G13" s="386"/>
    </row>
    <row r="14" spans="1:7" ht="24.95" customHeight="1" x14ac:dyDescent="0.25">
      <c r="A14" s="704" t="s">
        <v>380</v>
      </c>
      <c r="B14" s="393" t="s">
        <v>381</v>
      </c>
      <c r="C14" s="709"/>
      <c r="D14" s="710"/>
      <c r="E14" s="385">
        <v>15000</v>
      </c>
      <c r="F14" s="385">
        <v>15000</v>
      </c>
      <c r="G14" s="386"/>
    </row>
    <row r="15" spans="1:7" ht="24.95" customHeight="1" x14ac:dyDescent="0.25">
      <c r="A15" s="712" t="s">
        <v>588</v>
      </c>
      <c r="B15" s="393" t="s">
        <v>648</v>
      </c>
      <c r="C15" s="709"/>
      <c r="D15" s="710">
        <v>5.0000000000000001E-3</v>
      </c>
      <c r="E15" s="385"/>
      <c r="F15" s="385">
        <f>1918915+1287101+615124+285791</f>
        <v>4106931</v>
      </c>
      <c r="G15" s="386"/>
    </row>
    <row r="16" spans="1:7" ht="24.95" customHeight="1" x14ac:dyDescent="0.25">
      <c r="A16" s="712"/>
      <c r="B16" s="393"/>
      <c r="C16" s="709"/>
      <c r="D16" s="710"/>
      <c r="E16" s="385"/>
      <c r="F16" s="385"/>
      <c r="G16" s="386"/>
    </row>
    <row r="17" spans="1:7" ht="24.95" customHeight="1" x14ac:dyDescent="0.25">
      <c r="A17" s="425" t="s">
        <v>326</v>
      </c>
      <c r="B17" s="387" t="s">
        <v>327</v>
      </c>
      <c r="C17" s="388"/>
      <c r="D17" s="389"/>
      <c r="E17" s="390">
        <f>SUM(E5:E16)</f>
        <v>649956252</v>
      </c>
      <c r="F17" s="390">
        <f>SUM(F5:F16)</f>
        <v>413857323</v>
      </c>
      <c r="G17" s="448">
        <v>413857323</v>
      </c>
    </row>
    <row r="18" spans="1:7" ht="24.95" customHeight="1" x14ac:dyDescent="0.25">
      <c r="A18" s="425"/>
      <c r="B18" s="387"/>
      <c r="C18" s="388"/>
      <c r="D18" s="389"/>
      <c r="E18" s="390"/>
      <c r="F18" s="390"/>
      <c r="G18" s="391"/>
    </row>
    <row r="19" spans="1:7" ht="24.95" customHeight="1" x14ac:dyDescent="0.25">
      <c r="A19" s="712" t="s">
        <v>328</v>
      </c>
      <c r="B19" s="393" t="s">
        <v>182</v>
      </c>
      <c r="C19" s="709" t="s">
        <v>18</v>
      </c>
      <c r="D19" s="710">
        <v>65</v>
      </c>
      <c r="E19" s="385">
        <v>284147500</v>
      </c>
      <c r="F19" s="385">
        <f>285780370+36824733+12240200+912410</f>
        <v>335757713</v>
      </c>
      <c r="G19" s="386"/>
    </row>
    <row r="20" spans="1:7" ht="24.95" customHeight="1" x14ac:dyDescent="0.25">
      <c r="A20" s="712"/>
      <c r="B20" s="393" t="s">
        <v>217</v>
      </c>
      <c r="C20" s="709" t="s">
        <v>18</v>
      </c>
      <c r="D20" s="710">
        <v>46</v>
      </c>
      <c r="E20" s="385">
        <v>110400000</v>
      </c>
      <c r="F20" s="385">
        <v>110400000</v>
      </c>
      <c r="G20" s="386"/>
    </row>
    <row r="21" spans="1:7" ht="24.95" customHeight="1" x14ac:dyDescent="0.25">
      <c r="A21" s="712" t="s">
        <v>329</v>
      </c>
      <c r="B21" s="393" t="s">
        <v>183</v>
      </c>
      <c r="C21" s="709" t="s">
        <v>19</v>
      </c>
      <c r="D21" s="710">
        <v>736</v>
      </c>
      <c r="E21" s="385">
        <v>71686400</v>
      </c>
      <c r="F21" s="385">
        <f>71686400+3350560</f>
        <v>75036960</v>
      </c>
      <c r="G21" s="386"/>
    </row>
    <row r="22" spans="1:7" ht="24.95" customHeight="1" x14ac:dyDescent="0.25">
      <c r="A22" s="712" t="s">
        <v>382</v>
      </c>
      <c r="B22" s="393" t="s">
        <v>330</v>
      </c>
      <c r="C22" s="709" t="s">
        <v>331</v>
      </c>
      <c r="D22" s="710">
        <v>20</v>
      </c>
      <c r="E22" s="385">
        <v>7934000</v>
      </c>
      <c r="F22" s="385">
        <v>7940612</v>
      </c>
      <c r="G22" s="386"/>
    </row>
    <row r="23" spans="1:7" s="27" customFormat="1" ht="24.95" customHeight="1" x14ac:dyDescent="0.25">
      <c r="A23" s="425" t="s">
        <v>332</v>
      </c>
      <c r="B23" s="387" t="s">
        <v>333</v>
      </c>
      <c r="C23" s="388"/>
      <c r="D23" s="389"/>
      <c r="E23" s="390">
        <f>SUM(E19:E22)</f>
        <v>474167900</v>
      </c>
      <c r="F23" s="390">
        <f>SUM(F19:F22)</f>
        <v>529135285</v>
      </c>
      <c r="G23" s="391">
        <v>529135285</v>
      </c>
    </row>
    <row r="24" spans="1:7" s="27" customFormat="1" ht="24.95" customHeight="1" x14ac:dyDescent="0.25">
      <c r="A24" s="712"/>
      <c r="B24" s="393"/>
      <c r="C24" s="709"/>
      <c r="D24" s="710"/>
      <c r="E24" s="385"/>
      <c r="F24" s="385"/>
      <c r="G24" s="386"/>
    </row>
    <row r="25" spans="1:7" s="28" customFormat="1" ht="24.95" customHeight="1" x14ac:dyDescent="0.25">
      <c r="A25" s="712" t="s">
        <v>579</v>
      </c>
      <c r="B25" s="393" t="s">
        <v>207</v>
      </c>
      <c r="C25" s="709"/>
      <c r="D25" s="710"/>
      <c r="E25" s="385"/>
      <c r="F25" s="385"/>
      <c r="G25" s="386"/>
    </row>
    <row r="26" spans="1:7" s="40" customFormat="1" ht="24.95" customHeight="1" x14ac:dyDescent="0.25">
      <c r="A26" s="712" t="s">
        <v>334</v>
      </c>
      <c r="B26" s="393" t="s">
        <v>208</v>
      </c>
      <c r="C26" s="709"/>
      <c r="D26" s="710"/>
      <c r="E26" s="385">
        <v>190794232</v>
      </c>
      <c r="F26" s="385">
        <f>SUM(F27:F34)+4155000+8749400</f>
        <v>201155240</v>
      </c>
      <c r="G26" s="1125">
        <f>349336025-G39-G40-65256785</f>
        <v>201155240</v>
      </c>
    </row>
    <row r="27" spans="1:7" ht="24.95" customHeight="1" x14ac:dyDescent="0.25">
      <c r="A27" s="713" t="s">
        <v>580</v>
      </c>
      <c r="B27" s="714" t="s">
        <v>449</v>
      </c>
      <c r="C27" s="715"/>
      <c r="D27" s="716"/>
      <c r="E27" s="436">
        <v>17000000</v>
      </c>
      <c r="F27" s="436">
        <v>18900000</v>
      </c>
      <c r="G27" s="392"/>
    </row>
    <row r="28" spans="1:7" s="27" customFormat="1" ht="24.95" customHeight="1" x14ac:dyDescent="0.25">
      <c r="A28" s="713" t="s">
        <v>581</v>
      </c>
      <c r="B28" s="714" t="s">
        <v>384</v>
      </c>
      <c r="C28" s="715"/>
      <c r="D28" s="716"/>
      <c r="E28" s="436">
        <v>24090000</v>
      </c>
      <c r="F28" s="436">
        <v>24090000</v>
      </c>
      <c r="G28" s="392"/>
    </row>
    <row r="29" spans="1:7" s="27" customFormat="1" ht="24.95" customHeight="1" x14ac:dyDescent="0.25">
      <c r="A29" s="713" t="s">
        <v>582</v>
      </c>
      <c r="B29" s="714" t="s">
        <v>218</v>
      </c>
      <c r="C29" s="715" t="s">
        <v>18</v>
      </c>
      <c r="D29" s="716">
        <v>775</v>
      </c>
      <c r="E29" s="436">
        <v>55719400</v>
      </c>
      <c r="F29" s="436">
        <f>55719400+1653608</f>
        <v>57373008</v>
      </c>
      <c r="G29" s="392"/>
    </row>
    <row r="30" spans="1:7" s="27" customFormat="1" ht="24.95" customHeight="1" x14ac:dyDescent="0.25">
      <c r="A30" s="713" t="s">
        <v>583</v>
      </c>
      <c r="B30" s="714" t="s">
        <v>451</v>
      </c>
      <c r="C30" s="715" t="s">
        <v>18</v>
      </c>
      <c r="D30" s="716">
        <v>8</v>
      </c>
      <c r="E30" s="436">
        <v>200000</v>
      </c>
      <c r="F30" s="436">
        <f>200000-100000</f>
        <v>100000</v>
      </c>
      <c r="G30" s="392"/>
    </row>
    <row r="31" spans="1:7" s="40" customFormat="1" ht="24.95" customHeight="1" x14ac:dyDescent="0.25">
      <c r="A31" s="713" t="s">
        <v>584</v>
      </c>
      <c r="B31" s="714" t="s">
        <v>452</v>
      </c>
      <c r="C31" s="715" t="s">
        <v>18</v>
      </c>
      <c r="D31" s="716">
        <v>95</v>
      </c>
      <c r="E31" s="436">
        <v>40755000</v>
      </c>
      <c r="F31" s="436">
        <f>40755000-3432000</f>
        <v>37323000</v>
      </c>
      <c r="G31" s="392"/>
    </row>
    <row r="32" spans="1:7" ht="24.95" customHeight="1" x14ac:dyDescent="0.25">
      <c r="A32" s="713" t="s">
        <v>585</v>
      </c>
      <c r="B32" s="714" t="s">
        <v>210</v>
      </c>
      <c r="C32" s="715" t="s">
        <v>18</v>
      </c>
      <c r="D32" s="716">
        <v>62</v>
      </c>
      <c r="E32" s="436">
        <v>17670000</v>
      </c>
      <c r="F32" s="436">
        <f>17670000-2565000</f>
        <v>15105000</v>
      </c>
      <c r="G32" s="392"/>
    </row>
    <row r="33" spans="1:7" ht="24.95" customHeight="1" x14ac:dyDescent="0.25">
      <c r="A33" s="713" t="s">
        <v>586</v>
      </c>
      <c r="B33" s="714" t="s">
        <v>387</v>
      </c>
      <c r="C33" s="715" t="s">
        <v>454</v>
      </c>
      <c r="D33" s="716">
        <v>12</v>
      </c>
      <c r="E33" s="436">
        <v>13920000</v>
      </c>
      <c r="F33" s="436">
        <v>13920000</v>
      </c>
      <c r="G33" s="392"/>
    </row>
    <row r="34" spans="1:7" ht="24.95" customHeight="1" x14ac:dyDescent="0.25">
      <c r="A34" s="713" t="s">
        <v>587</v>
      </c>
      <c r="B34" s="714" t="s">
        <v>453</v>
      </c>
      <c r="C34" s="715"/>
      <c r="D34" s="716"/>
      <c r="E34" s="436">
        <v>21439832</v>
      </c>
      <c r="F34" s="436">
        <v>21439832</v>
      </c>
      <c r="G34" s="392"/>
    </row>
    <row r="35" spans="1:7" ht="24.95" customHeight="1" x14ac:dyDescent="0.25">
      <c r="A35" s="712" t="s">
        <v>335</v>
      </c>
      <c r="B35" s="393" t="s">
        <v>336</v>
      </c>
      <c r="C35" s="709" t="s">
        <v>19</v>
      </c>
      <c r="D35" s="717"/>
      <c r="E35" s="385">
        <v>222205017</v>
      </c>
      <c r="F35" s="385">
        <f>SUM(F36:F38)+7006560</f>
        <v>174898657</v>
      </c>
      <c r="G35" s="1125">
        <v>174898657</v>
      </c>
    </row>
    <row r="36" spans="1:7" ht="24.95" customHeight="1" x14ac:dyDescent="0.25">
      <c r="A36" s="713" t="s">
        <v>455</v>
      </c>
      <c r="B36" s="714" t="s">
        <v>337</v>
      </c>
      <c r="C36" s="715" t="s">
        <v>18</v>
      </c>
      <c r="D36" s="718">
        <v>44.99</v>
      </c>
      <c r="E36" s="436">
        <v>98978000</v>
      </c>
      <c r="F36" s="385">
        <f>87582000-15334000</f>
        <v>72248000</v>
      </c>
      <c r="G36" s="392"/>
    </row>
    <row r="37" spans="1:7" ht="24.95" customHeight="1" x14ac:dyDescent="0.25">
      <c r="A37" s="713" t="s">
        <v>456</v>
      </c>
      <c r="B37" s="714" t="s">
        <v>339</v>
      </c>
      <c r="C37" s="715"/>
      <c r="D37" s="716"/>
      <c r="E37" s="436">
        <v>121200667</v>
      </c>
      <c r="F37" s="385">
        <f>121200667-9321544-18074986</f>
        <v>93804137</v>
      </c>
      <c r="G37" s="392"/>
    </row>
    <row r="38" spans="1:7" ht="24.95" customHeight="1" x14ac:dyDescent="0.25">
      <c r="A38" s="713" t="s">
        <v>338</v>
      </c>
      <c r="B38" s="714" t="s">
        <v>385</v>
      </c>
      <c r="C38" s="715" t="s">
        <v>18</v>
      </c>
      <c r="D38" s="716">
        <v>5925</v>
      </c>
      <c r="E38" s="436">
        <v>2026350</v>
      </c>
      <c r="F38" s="385">
        <f>1717182+122778</f>
        <v>1839960</v>
      </c>
      <c r="G38" s="392"/>
    </row>
    <row r="39" spans="1:7" s="447" customFormat="1" ht="24.95" customHeight="1" x14ac:dyDescent="0.25">
      <c r="A39" s="712" t="s">
        <v>450</v>
      </c>
      <c r="B39" s="393" t="s">
        <v>446</v>
      </c>
      <c r="C39" s="709" t="s">
        <v>18</v>
      </c>
      <c r="D39" s="718">
        <v>16.8</v>
      </c>
      <c r="E39" s="385">
        <v>55986400</v>
      </c>
      <c r="F39" s="385">
        <f>59578000+2436000+7068000</f>
        <v>69082000</v>
      </c>
      <c r="G39" s="386">
        <v>69082000</v>
      </c>
    </row>
    <row r="40" spans="1:7" s="447" customFormat="1" ht="24.95" customHeight="1" x14ac:dyDescent="0.25">
      <c r="A40" s="712" t="s">
        <v>383</v>
      </c>
      <c r="B40" s="393" t="s">
        <v>447</v>
      </c>
      <c r="C40" s="709"/>
      <c r="D40" s="710"/>
      <c r="E40" s="385">
        <v>14468000</v>
      </c>
      <c r="F40" s="385">
        <f>14468000-626000</f>
        <v>13842000</v>
      </c>
      <c r="G40" s="386">
        <v>13842000</v>
      </c>
    </row>
    <row r="41" spans="1:7" ht="24.95" customHeight="1" x14ac:dyDescent="0.25">
      <c r="A41" s="425" t="s">
        <v>184</v>
      </c>
      <c r="B41" s="387" t="s">
        <v>340</v>
      </c>
      <c r="C41" s="388"/>
      <c r="D41" s="389"/>
      <c r="E41" s="390">
        <f>E24+E25+E26+E35+E39+E40</f>
        <v>483453649</v>
      </c>
      <c r="F41" s="390">
        <f>F24+F25+F26+F35+F39+F40</f>
        <v>458977897</v>
      </c>
      <c r="G41" s="448">
        <f>G25+G26+G35+G39+G40</f>
        <v>458977897</v>
      </c>
    </row>
    <row r="42" spans="1:7" ht="39" customHeight="1" x14ac:dyDescent="0.25">
      <c r="A42" s="712" t="s">
        <v>341</v>
      </c>
      <c r="B42" s="393" t="s">
        <v>185</v>
      </c>
      <c r="C42" s="719" t="s">
        <v>181</v>
      </c>
      <c r="D42" s="710">
        <v>23880</v>
      </c>
      <c r="E42" s="385">
        <v>30255435</v>
      </c>
      <c r="F42" s="385">
        <f>30255435+10399550</f>
        <v>40654985</v>
      </c>
      <c r="G42" s="386"/>
    </row>
    <row r="43" spans="1:7" ht="24.95" customHeight="1" x14ac:dyDescent="0.25">
      <c r="A43" s="712" t="s">
        <v>342</v>
      </c>
      <c r="B43" s="393" t="s">
        <v>448</v>
      </c>
      <c r="C43" s="709"/>
      <c r="D43" s="710"/>
      <c r="E43" s="385">
        <v>15730000</v>
      </c>
      <c r="F43" s="385">
        <v>15730000</v>
      </c>
      <c r="G43" s="386"/>
    </row>
    <row r="44" spans="1:7" ht="24.95" customHeight="1" x14ac:dyDescent="0.25">
      <c r="A44" s="712"/>
      <c r="B44" s="393" t="s">
        <v>435</v>
      </c>
      <c r="C44" s="709"/>
      <c r="D44" s="710"/>
      <c r="E44" s="385"/>
      <c r="F44" s="385">
        <f>2376626+1829993+845723+416860</f>
        <v>5469202</v>
      </c>
      <c r="G44" s="386"/>
    </row>
    <row r="45" spans="1:7" ht="24.95" customHeight="1" x14ac:dyDescent="0.25">
      <c r="A45" s="425" t="s">
        <v>186</v>
      </c>
      <c r="B45" s="387" t="s">
        <v>343</v>
      </c>
      <c r="C45" s="388"/>
      <c r="D45" s="389"/>
      <c r="E45" s="390">
        <f>SUM(E42:E43)</f>
        <v>45985435</v>
      </c>
      <c r="F45" s="390">
        <f>SUM(F42:F44)</f>
        <v>61854187</v>
      </c>
      <c r="G45" s="391">
        <f>62140187-286000</f>
        <v>61854187</v>
      </c>
    </row>
    <row r="46" spans="1:7" ht="24.75" customHeight="1" x14ac:dyDescent="0.25">
      <c r="A46" s="720"/>
      <c r="B46" s="393"/>
      <c r="C46" s="709"/>
      <c r="D46" s="710"/>
      <c r="E46" s="385"/>
      <c r="F46" s="385"/>
      <c r="G46" s="386"/>
    </row>
    <row r="47" spans="1:7" ht="24.95" customHeight="1" x14ac:dyDescent="0.25">
      <c r="A47" s="1242" t="s">
        <v>386</v>
      </c>
      <c r="B47" s="1243"/>
      <c r="C47" s="1243"/>
      <c r="D47" s="1244"/>
      <c r="E47" s="390">
        <f>E41+E23+E17+E45</f>
        <v>1653563236</v>
      </c>
      <c r="F47" s="390">
        <f>F41+F23+F17+F45</f>
        <v>1463824692</v>
      </c>
      <c r="G47" s="391">
        <f>G41+G23+G17+G45</f>
        <v>1463824692</v>
      </c>
    </row>
    <row r="48" spans="1:7" ht="24.95" customHeight="1" thickBot="1" x14ac:dyDescent="0.3">
      <c r="A48" s="1245"/>
      <c r="B48" s="1246"/>
      <c r="C48" s="1246"/>
      <c r="D48" s="1247"/>
      <c r="E48" s="437"/>
      <c r="F48" s="437"/>
      <c r="G48" s="394"/>
    </row>
    <row r="49" spans="1:7" ht="24.95" customHeight="1" thickBot="1" x14ac:dyDescent="0.3">
      <c r="A49" s="1248" t="s">
        <v>187</v>
      </c>
      <c r="B49" s="1249"/>
      <c r="C49" s="1249"/>
      <c r="D49" s="1249"/>
      <c r="E49" s="395">
        <f>E47</f>
        <v>1653563236</v>
      </c>
      <c r="F49" s="395">
        <f>F47</f>
        <v>1463824692</v>
      </c>
      <c r="G49" s="449">
        <f>G47</f>
        <v>1463824692</v>
      </c>
    </row>
    <row r="50" spans="1:7" ht="15" customHeight="1" thickTop="1" x14ac:dyDescent="0.2"/>
  </sheetData>
  <mergeCells count="3">
    <mergeCell ref="A47:D47"/>
    <mergeCell ref="A48:D48"/>
    <mergeCell ref="A49:D49"/>
  </mergeCells>
  <phoneticPr fontId="31" type="noConversion"/>
  <printOptions horizontalCentered="1"/>
  <pageMargins left="0.35433070866141736" right="0.43307086614173229" top="1.0236220472440944" bottom="0.39370078740157483" header="0.55118110236220474" footer="0.43307086614173229"/>
  <pageSetup paperSize="8" scale="63" pageOrder="overThenDown" orientation="portrait" r:id="rId1"/>
  <headerFooter alignWithMargins="0">
    <oddHeader>&amp;C&amp;"Times New Roman,Félkövér"&amp;16Normatív állami hozzájárulások
&amp;"Times New Roman,Normál"&amp;12/adatok forintban/&amp;R&amp;"Times New Roman,Normál"&amp;12 6. sz. melléklet</oddHeader>
    <oddFooter xml:space="preserve">&amp;R 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G31"/>
  <sheetViews>
    <sheetView topLeftCell="A4" zoomScaleNormal="100" workbookViewId="0">
      <selection activeCell="E22" sqref="E22"/>
    </sheetView>
  </sheetViews>
  <sheetFormatPr defaultRowHeight="12.75" x14ac:dyDescent="0.2"/>
  <cols>
    <col min="1" max="1" width="7.85546875" style="328" customWidth="1"/>
    <col min="2" max="2" width="41.7109375" customWidth="1"/>
    <col min="3" max="3" width="12.7109375" customWidth="1"/>
    <col min="4" max="4" width="12.7109375" style="41" customWidth="1"/>
    <col min="5" max="5" width="12.7109375" style="207" customWidth="1"/>
    <col min="6" max="6" width="10.42578125" customWidth="1"/>
  </cols>
  <sheetData>
    <row r="1" spans="1:6" ht="16.5" thickTop="1" x14ac:dyDescent="0.2">
      <c r="A1" s="1251" t="s">
        <v>233</v>
      </c>
      <c r="B1" s="1226" t="s">
        <v>66</v>
      </c>
      <c r="C1" s="1220" t="s">
        <v>114</v>
      </c>
      <c r="D1" s="1221"/>
      <c r="E1" s="1221"/>
      <c r="F1" s="1222" t="s">
        <v>168</v>
      </c>
    </row>
    <row r="2" spans="1:6" ht="16.5" thickBot="1" x14ac:dyDescent="0.25">
      <c r="A2" s="1252"/>
      <c r="B2" s="1250"/>
      <c r="C2" s="32" t="s">
        <v>561</v>
      </c>
      <c r="D2" s="11" t="s">
        <v>562</v>
      </c>
      <c r="E2" s="163" t="s">
        <v>606</v>
      </c>
      <c r="F2" s="1223"/>
    </row>
    <row r="3" spans="1:6" s="77" customFormat="1" ht="21.75" customHeight="1" x14ac:dyDescent="0.2">
      <c r="A3" s="334"/>
      <c r="B3" s="355" t="s">
        <v>153</v>
      </c>
      <c r="C3" s="128"/>
      <c r="D3" s="285"/>
      <c r="E3" s="184"/>
      <c r="F3" s="286"/>
    </row>
    <row r="4" spans="1:6" s="41" customFormat="1" ht="21.75" customHeight="1" x14ac:dyDescent="0.2">
      <c r="A4" s="330" t="s">
        <v>260</v>
      </c>
      <c r="B4" s="324" t="s">
        <v>115</v>
      </c>
      <c r="C4" s="428">
        <v>7547</v>
      </c>
      <c r="D4" s="428">
        <v>5547</v>
      </c>
      <c r="E4" s="428">
        <f>12458-1459</f>
        <v>10999</v>
      </c>
      <c r="F4" s="187">
        <f>E4/D4</f>
        <v>1.9828736253830899</v>
      </c>
    </row>
    <row r="5" spans="1:6" s="41" customFormat="1" ht="21.75" customHeight="1" x14ac:dyDescent="0.2">
      <c r="A5" s="330" t="s">
        <v>261</v>
      </c>
      <c r="B5" s="324" t="s">
        <v>6</v>
      </c>
      <c r="C5" s="428">
        <v>836</v>
      </c>
      <c r="D5" s="428">
        <v>836</v>
      </c>
      <c r="E5" s="428">
        <v>1459</v>
      </c>
      <c r="F5" s="187">
        <f t="shared" ref="F5:F30" si="0">E5/D5</f>
        <v>1.7452153110047848</v>
      </c>
    </row>
    <row r="6" spans="1:6" s="41" customFormat="1" ht="21.75" customHeight="1" x14ac:dyDescent="0.2">
      <c r="A6" s="330" t="s">
        <v>262</v>
      </c>
      <c r="B6" s="324" t="s">
        <v>234</v>
      </c>
      <c r="C6" s="428">
        <v>13500</v>
      </c>
      <c r="D6" s="428">
        <v>7500</v>
      </c>
      <c r="E6" s="428">
        <f>17645-1656</f>
        <v>15989</v>
      </c>
      <c r="F6" s="187">
        <f t="shared" si="0"/>
        <v>2.1318666666666668</v>
      </c>
    </row>
    <row r="7" spans="1:6" s="41" customFormat="1" ht="21.75" customHeight="1" x14ac:dyDescent="0.2">
      <c r="A7" s="330" t="s">
        <v>263</v>
      </c>
      <c r="B7" s="324" t="s">
        <v>36</v>
      </c>
      <c r="C7" s="428">
        <v>2000</v>
      </c>
      <c r="D7" s="428">
        <v>0</v>
      </c>
      <c r="E7" s="428">
        <v>0</v>
      </c>
      <c r="F7" s="187">
        <v>0</v>
      </c>
    </row>
    <row r="8" spans="1:6" s="41" customFormat="1" ht="21.75" customHeight="1" x14ac:dyDescent="0.2">
      <c r="A8" s="330" t="s">
        <v>264</v>
      </c>
      <c r="B8" s="324" t="s">
        <v>7</v>
      </c>
      <c r="C8" s="153">
        <v>1500</v>
      </c>
      <c r="D8" s="428">
        <v>1500</v>
      </c>
      <c r="E8" s="153">
        <f>1139+205</f>
        <v>1344</v>
      </c>
      <c r="F8" s="187">
        <f t="shared" si="0"/>
        <v>0.89600000000000002</v>
      </c>
    </row>
    <row r="9" spans="1:6" s="41" customFormat="1" ht="21.75" customHeight="1" x14ac:dyDescent="0.2">
      <c r="A9" s="330"/>
      <c r="B9" s="324"/>
      <c r="C9" s="15"/>
      <c r="D9" s="154"/>
      <c r="E9" s="29"/>
      <c r="F9" s="187"/>
    </row>
    <row r="10" spans="1:6" s="77" customFormat="1" ht="21.75" customHeight="1" x14ac:dyDescent="0.2">
      <c r="A10" s="330"/>
      <c r="B10" s="325" t="s">
        <v>154</v>
      </c>
      <c r="C10" s="128">
        <f>SUM(C4:C9)</f>
        <v>25383</v>
      </c>
      <c r="D10" s="156">
        <f>SUM(D4:D9)</f>
        <v>15383</v>
      </c>
      <c r="E10" s="184">
        <f>SUM(E4:E9)</f>
        <v>29791</v>
      </c>
      <c r="F10" s="654">
        <f t="shared" si="0"/>
        <v>1.9366183449262173</v>
      </c>
    </row>
    <row r="11" spans="1:6" s="77" customFormat="1" ht="21.75" customHeight="1" x14ac:dyDescent="0.2">
      <c r="A11" s="537"/>
      <c r="B11" s="571"/>
      <c r="C11" s="572"/>
      <c r="D11" s="573"/>
      <c r="E11" s="574"/>
      <c r="F11" s="187"/>
    </row>
    <row r="12" spans="1:6" s="77" customFormat="1" ht="21.75" customHeight="1" x14ac:dyDescent="0.2">
      <c r="A12" s="330"/>
      <c r="B12" s="355" t="s">
        <v>155</v>
      </c>
      <c r="C12" s="128"/>
      <c r="D12" s="156"/>
      <c r="E12" s="184"/>
      <c r="F12" s="187"/>
    </row>
    <row r="13" spans="1:6" s="23" customFormat="1" ht="21.75" customHeight="1" x14ac:dyDescent="0.2">
      <c r="A13" s="327" t="s">
        <v>250</v>
      </c>
      <c r="B13" s="324" t="s">
        <v>5</v>
      </c>
      <c r="C13" s="428">
        <v>80413</v>
      </c>
      <c r="D13" s="428">
        <v>80413</v>
      </c>
      <c r="E13" s="428">
        <v>0</v>
      </c>
      <c r="F13" s="187">
        <f t="shared" si="0"/>
        <v>0</v>
      </c>
    </row>
    <row r="14" spans="1:6" s="23" customFormat="1" ht="21.75" customHeight="1" x14ac:dyDescent="0.2">
      <c r="A14" s="327" t="s">
        <v>251</v>
      </c>
      <c r="B14" s="324" t="s">
        <v>8</v>
      </c>
      <c r="C14" s="428">
        <v>198000</v>
      </c>
      <c r="D14" s="428">
        <v>0</v>
      </c>
      <c r="E14" s="428">
        <v>0</v>
      </c>
      <c r="F14" s="187">
        <v>0</v>
      </c>
    </row>
    <row r="15" spans="1:6" s="23" customFormat="1" ht="21.75" customHeight="1" x14ac:dyDescent="0.2">
      <c r="A15" s="327" t="s">
        <v>252</v>
      </c>
      <c r="B15" s="321" t="s">
        <v>144</v>
      </c>
      <c r="C15" s="428">
        <v>20000</v>
      </c>
      <c r="D15" s="428">
        <v>20000</v>
      </c>
      <c r="E15" s="428">
        <v>15000</v>
      </c>
      <c r="F15" s="187">
        <f t="shared" si="0"/>
        <v>0.75</v>
      </c>
    </row>
    <row r="16" spans="1:6" s="23" customFormat="1" ht="21.75" customHeight="1" x14ac:dyDescent="0.2">
      <c r="A16" s="327" t="s">
        <v>253</v>
      </c>
      <c r="B16" s="321" t="s">
        <v>142</v>
      </c>
      <c r="C16" s="428">
        <v>13000</v>
      </c>
      <c r="D16" s="428">
        <v>13000</v>
      </c>
      <c r="E16" s="428">
        <v>5487</v>
      </c>
      <c r="F16" s="187">
        <f t="shared" si="0"/>
        <v>0.42207692307692307</v>
      </c>
    </row>
    <row r="17" spans="1:7" s="23" customFormat="1" ht="21.75" customHeight="1" x14ac:dyDescent="0.2">
      <c r="A17" s="327" t="s">
        <v>267</v>
      </c>
      <c r="B17" s="321" t="s">
        <v>143</v>
      </c>
      <c r="C17" s="428">
        <v>18415</v>
      </c>
      <c r="D17" s="428">
        <v>18415</v>
      </c>
      <c r="E17" s="428">
        <f>20319+680</f>
        <v>20999</v>
      </c>
      <c r="F17" s="187">
        <f t="shared" si="0"/>
        <v>1.1403203909856097</v>
      </c>
      <c r="G17" s="266"/>
    </row>
    <row r="18" spans="1:7" s="23" customFormat="1" ht="21.75" customHeight="1" x14ac:dyDescent="0.2">
      <c r="A18" s="327" t="s">
        <v>268</v>
      </c>
      <c r="B18" s="321" t="s">
        <v>166</v>
      </c>
      <c r="C18" s="428">
        <v>4000</v>
      </c>
      <c r="D18" s="428">
        <v>4000</v>
      </c>
      <c r="E18" s="428">
        <v>4000</v>
      </c>
      <c r="F18" s="187">
        <f t="shared" si="0"/>
        <v>1</v>
      </c>
    </row>
    <row r="19" spans="1:7" s="23" customFormat="1" ht="21.75" customHeight="1" x14ac:dyDescent="0.2">
      <c r="A19" s="327" t="s">
        <v>269</v>
      </c>
      <c r="B19" s="321" t="s">
        <v>365</v>
      </c>
      <c r="C19" s="153">
        <v>5000</v>
      </c>
      <c r="D19" s="428">
        <v>5000</v>
      </c>
      <c r="E19" s="153">
        <v>0</v>
      </c>
      <c r="F19" s="187">
        <f t="shared" si="0"/>
        <v>0</v>
      </c>
    </row>
    <row r="20" spans="1:7" s="23" customFormat="1" ht="21.75" customHeight="1" x14ac:dyDescent="0.2">
      <c r="A20" s="327" t="s">
        <v>271</v>
      </c>
      <c r="B20" s="321" t="s">
        <v>484</v>
      </c>
      <c r="C20" s="37">
        <v>20000</v>
      </c>
      <c r="D20" s="428">
        <v>20000</v>
      </c>
      <c r="E20" s="37">
        <v>20000</v>
      </c>
      <c r="F20" s="187">
        <f t="shared" si="0"/>
        <v>1</v>
      </c>
    </row>
    <row r="21" spans="1:7" s="23" customFormat="1" ht="21.75" customHeight="1" x14ac:dyDescent="0.2">
      <c r="A21" s="327" t="s">
        <v>272</v>
      </c>
      <c r="B21" s="321" t="s">
        <v>490</v>
      </c>
      <c r="C21" s="526">
        <v>15000</v>
      </c>
      <c r="D21" s="428">
        <v>13000</v>
      </c>
      <c r="E21" s="526">
        <v>0</v>
      </c>
      <c r="F21" s="187">
        <f t="shared" si="0"/>
        <v>0</v>
      </c>
    </row>
    <row r="22" spans="1:7" s="23" customFormat="1" ht="21.75" customHeight="1" x14ac:dyDescent="0.2">
      <c r="A22" s="540" t="s">
        <v>273</v>
      </c>
      <c r="B22" s="558" t="s">
        <v>526</v>
      </c>
      <c r="C22" s="559">
        <v>10000</v>
      </c>
      <c r="D22" s="428">
        <v>2000</v>
      </c>
      <c r="E22" s="1123">
        <v>2000</v>
      </c>
      <c r="F22" s="187">
        <f t="shared" si="0"/>
        <v>1</v>
      </c>
    </row>
    <row r="23" spans="1:7" s="23" customFormat="1" ht="21.75" customHeight="1" x14ac:dyDescent="0.2">
      <c r="A23" s="540" t="s">
        <v>274</v>
      </c>
      <c r="B23" s="558" t="s">
        <v>521</v>
      </c>
      <c r="C23" s="560">
        <v>2500</v>
      </c>
      <c r="D23" s="428">
        <v>2000</v>
      </c>
      <c r="E23" s="1124">
        <v>2165</v>
      </c>
      <c r="F23" s="187">
        <f t="shared" si="0"/>
        <v>1.0825</v>
      </c>
    </row>
    <row r="24" spans="1:7" s="23" customFormat="1" ht="21.75" customHeight="1" x14ac:dyDescent="0.2">
      <c r="A24" s="684"/>
      <c r="B24" s="790" t="s">
        <v>666</v>
      </c>
      <c r="C24" s="560"/>
      <c r="D24" s="428"/>
      <c r="E24" s="1124">
        <f>2492+672</f>
        <v>3164</v>
      </c>
      <c r="F24" s="187">
        <v>0</v>
      </c>
    </row>
    <row r="25" spans="1:7" s="23" customFormat="1" ht="13.9" customHeight="1" x14ac:dyDescent="0.2">
      <c r="A25" s="327"/>
      <c r="B25" s="321"/>
      <c r="C25" s="102"/>
      <c r="D25" s="47"/>
      <c r="E25" s="29"/>
      <c r="F25" s="187"/>
    </row>
    <row r="26" spans="1:7" s="17" customFormat="1" ht="22.9" customHeight="1" x14ac:dyDescent="0.2">
      <c r="A26" s="327"/>
      <c r="B26" s="325" t="s">
        <v>156</v>
      </c>
      <c r="C26" s="94">
        <f>SUM(C13:C25)</f>
        <v>386328</v>
      </c>
      <c r="D26" s="48">
        <f>SUM(D13:D25)</f>
        <v>177828</v>
      </c>
      <c r="E26" s="46">
        <f>SUM(E13:E25)</f>
        <v>72815</v>
      </c>
      <c r="F26" s="654">
        <f t="shared" si="0"/>
        <v>0.40946870009222397</v>
      </c>
    </row>
    <row r="27" spans="1:7" ht="30.6" customHeight="1" x14ac:dyDescent="0.2">
      <c r="A27" s="327"/>
      <c r="B27" s="692" t="s">
        <v>108</v>
      </c>
      <c r="C27" s="136"/>
      <c r="D27" s="76"/>
      <c r="E27" s="15"/>
      <c r="F27" s="187"/>
    </row>
    <row r="28" spans="1:7" ht="21.75" customHeight="1" x14ac:dyDescent="0.2">
      <c r="A28" s="327" t="s">
        <v>270</v>
      </c>
      <c r="B28" s="324" t="s">
        <v>110</v>
      </c>
      <c r="C28" s="136">
        <v>300</v>
      </c>
      <c r="D28" s="76">
        <v>300</v>
      </c>
      <c r="E28" s="15">
        <v>365</v>
      </c>
      <c r="F28" s="187">
        <f t="shared" si="0"/>
        <v>1.2166666666666666</v>
      </c>
    </row>
    <row r="29" spans="1:7" s="17" customFormat="1" ht="21.75" customHeight="1" thickBot="1" x14ac:dyDescent="0.25">
      <c r="A29" s="349"/>
      <c r="B29" s="325" t="s">
        <v>157</v>
      </c>
      <c r="C29" s="137">
        <f>SUM(C28:C28)</f>
        <v>300</v>
      </c>
      <c r="D29" s="131">
        <f>SUM(D28:D28)</f>
        <v>300</v>
      </c>
      <c r="E29" s="185">
        <f>SUM(E28:E28)</f>
        <v>365</v>
      </c>
      <c r="F29" s="655">
        <f t="shared" si="0"/>
        <v>1.2166666666666666</v>
      </c>
    </row>
    <row r="30" spans="1:7" s="17" customFormat="1" ht="21.75" customHeight="1" thickBot="1" x14ac:dyDescent="0.25">
      <c r="A30" s="343"/>
      <c r="B30" s="362" t="s">
        <v>235</v>
      </c>
      <c r="C30" s="95">
        <f>C10+C26+C28</f>
        <v>412011</v>
      </c>
      <c r="D30" s="95">
        <f>D10+D26+D28</f>
        <v>193511</v>
      </c>
      <c r="E30" s="186">
        <f>E10+E26+E28</f>
        <v>102971</v>
      </c>
      <c r="F30" s="188">
        <f t="shared" si="0"/>
        <v>0.53211962110681044</v>
      </c>
    </row>
    <row r="31" spans="1:7" ht="13.5" thickTop="1" x14ac:dyDescent="0.2">
      <c r="C31" s="41"/>
      <c r="F31" s="41"/>
    </row>
  </sheetData>
  <mergeCells count="4">
    <mergeCell ref="B1:B2"/>
    <mergeCell ref="C1:E1"/>
    <mergeCell ref="F1:F2"/>
    <mergeCell ref="A1:A2"/>
  </mergeCells>
  <phoneticPr fontId="0" type="noConversion"/>
  <printOptions horizontalCentered="1"/>
  <pageMargins left="0.94488188976377963" right="0.98425196850393704" top="2.0299999999999998" bottom="1.8" header="0.87" footer="1.04"/>
  <pageSetup paperSize="8" scale="84" orientation="portrait" blackAndWhite="1" r:id="rId1"/>
  <headerFooter alignWithMargins="0">
    <oddHeader>&amp;C&amp;"Times New Roman CE,Félkövér"&amp;16
Vagyonhasznosítási bevételek&amp;"Times New Roman CE,Normál"&amp;18
&amp;11/ ezer Ft /&amp;R&amp;"Times New Roman,Normál"&amp;12 7.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1</vt:i4>
      </vt:variant>
    </vt:vector>
  </HeadingPairs>
  <TitlesOfParts>
    <vt:vector size="29" baseType="lpstr">
      <vt:lpstr>Mérleg</vt:lpstr>
      <vt:lpstr>1a-Intézmények bevétele</vt:lpstr>
      <vt:lpstr>2-Helyi adóbevételek</vt:lpstr>
      <vt:lpstr>3-Egyéb bevételek</vt:lpstr>
      <vt:lpstr>Ig bev.</vt:lpstr>
      <vt:lpstr>4-Átvett pe.</vt:lpstr>
      <vt:lpstr>5-Kp.-i tám.</vt:lpstr>
      <vt:lpstr>6-Normatíva </vt:lpstr>
      <vt:lpstr>7-Vagyonhasznositási bevétel</vt:lpstr>
      <vt:lpstr>8a-Intézmények kiadása</vt:lpstr>
      <vt:lpstr>8b-ÖK-i feladatok</vt:lpstr>
      <vt:lpstr>8c-PH-i feladatok</vt:lpstr>
      <vt:lpstr>PH.Ig ki.</vt:lpstr>
      <vt:lpstr>9-Városüzemeltetés</vt:lpstr>
      <vt:lpstr>10-Szociálpolitikai kiadások</vt:lpstr>
      <vt:lpstr>11-Pénzátadás</vt:lpstr>
      <vt:lpstr>12-Külön keretek</vt:lpstr>
      <vt:lpstr>13-Beruházások</vt:lpstr>
      <vt:lpstr>14-Felújítások</vt:lpstr>
      <vt:lpstr>15-Létszám</vt:lpstr>
      <vt:lpstr>16-kötelezettségek</vt:lpstr>
      <vt:lpstr>17-Közvetett támogatások</vt:lpstr>
      <vt:lpstr>18-EU-s</vt:lpstr>
      <vt:lpstr>19-Mérlegadatok</vt:lpstr>
      <vt:lpstr>20-Vagyonkimutatás</vt:lpstr>
      <vt:lpstr>21-Pénzmaradvány</vt:lpstr>
      <vt:lpstr>22-Eredménykimutatás</vt:lpstr>
      <vt:lpstr>Munka1</vt:lpstr>
      <vt:lpstr>'2-Helyi adóbevételek'!Nyomtatási_terület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Költségvetes 1995</dc:title>
  <dc:subject>1995 évi költségvetés tervezése</dc:subject>
  <dc:creator>Hajdúszoboszló Városi Önkormán</dc:creator>
  <cp:lastModifiedBy>Balla Lászlóne</cp:lastModifiedBy>
  <cp:lastPrinted>2021-04-13T07:29:48Z</cp:lastPrinted>
  <dcterms:created xsi:type="dcterms:W3CDTF">1998-01-22T07:40:57Z</dcterms:created>
  <dcterms:modified xsi:type="dcterms:W3CDTF">2021-04-13T07:29:58Z</dcterms:modified>
</cp:coreProperties>
</file>